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15D23F83-5150-43B4-B5EC-3D6A03D0D2A5}" xr6:coauthVersionLast="47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96" r:id="rId9"/>
    <sheet name="Figure 2" sheetId="103" r:id="rId10"/>
    <sheet name="Figure 3" sheetId="101" r:id="rId11"/>
    <sheet name="Figure 4" sheetId="100" r:id="rId12"/>
  </sheets>
  <definedNames>
    <definedName name="_xlnm.Print_Area" localSheetId="1">'Table 1'!$A$1:$N$32</definedName>
    <definedName name="_xlnm.Print_Area" localSheetId="7">'Table 10'!$A$1:$G$37</definedName>
    <definedName name="_xlnm.Print_Area" localSheetId="2">'Table 2'!$A$1:$J$40</definedName>
    <definedName name="_xlnm.Print_Area" localSheetId="3">'Table 3'!$A$1:$L$53</definedName>
    <definedName name="_xlnm.Print_Area" localSheetId="5">'Table 8'!$A$1:$G$36</definedName>
    <definedName name="_xlnm.Print_Area" localSheetId="6">'Table 9'!$A$1:$I$38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0" l="1"/>
  <c r="C16" i="100"/>
  <c r="C2" i="103"/>
  <c r="C3" i="103"/>
  <c r="C4" i="103"/>
  <c r="C5" i="103"/>
  <c r="C6" i="103"/>
  <c r="C7" i="103"/>
  <c r="C8" i="103"/>
  <c r="C9" i="103"/>
  <c r="C10" i="103"/>
  <c r="C11" i="103"/>
  <c r="C12" i="103"/>
  <c r="C13" i="103"/>
  <c r="C14" i="103"/>
  <c r="C15" i="103"/>
  <c r="C16" i="103"/>
  <c r="C17" i="103"/>
  <c r="C18" i="103"/>
  <c r="C19" i="103"/>
  <c r="C20" i="103"/>
  <c r="C21" i="103"/>
  <c r="C22" i="103"/>
  <c r="C23" i="103"/>
  <c r="C24" i="103"/>
  <c r="C25" i="103"/>
  <c r="C26" i="103"/>
  <c r="H8" i="1"/>
  <c r="F8" i="1"/>
  <c r="J38" i="9"/>
  <c r="J23" i="9"/>
  <c r="H38" i="2"/>
  <c r="H23" i="2"/>
  <c r="D38" i="9"/>
  <c r="D23" i="9"/>
  <c r="D38" i="2"/>
  <c r="D23" i="2"/>
  <c r="L27" i="1"/>
  <c r="G27" i="1"/>
  <c r="H37" i="2"/>
  <c r="G30" i="1"/>
  <c r="L30" i="1"/>
  <c r="J37" i="9" l="1"/>
  <c r="D37" i="9"/>
  <c r="D37" i="2"/>
  <c r="C12" i="101" l="1"/>
  <c r="C11" i="101"/>
  <c r="C10" i="101"/>
  <c r="C9" i="101"/>
  <c r="C8" i="101"/>
  <c r="C7" i="101"/>
  <c r="C6" i="101"/>
  <c r="C5" i="101"/>
  <c r="C4" i="101"/>
  <c r="C3" i="101"/>
  <c r="C2" i="101"/>
  <c r="E32" i="4" l="1"/>
  <c r="J25" i="1"/>
  <c r="J30" i="1"/>
  <c r="J6" i="3" l="1"/>
  <c r="I6" i="3" s="1"/>
  <c r="J7" i="3"/>
  <c r="I7" i="3" s="1"/>
  <c r="N46" i="3"/>
  <c r="N44" i="3"/>
  <c r="N45" i="3"/>
  <c r="L45" i="3"/>
  <c r="L46" i="3"/>
  <c r="L44" i="3"/>
  <c r="L7" i="9"/>
  <c r="J7" i="9"/>
  <c r="H38" i="9"/>
  <c r="D7" i="9"/>
  <c r="C38" i="9"/>
  <c r="E38" i="9" s="1"/>
  <c r="E7" i="9" s="1"/>
  <c r="B37" i="9"/>
  <c r="E37" i="9" s="1"/>
  <c r="K37" i="9" s="1"/>
  <c r="J7" i="2"/>
  <c r="B37" i="2"/>
  <c r="E37" i="2" s="1"/>
  <c r="I37" i="2" s="1"/>
  <c r="G37" i="2" s="1"/>
  <c r="C38" i="2"/>
  <c r="C7" i="2" s="1"/>
  <c r="E30" i="1"/>
  <c r="E14" i="1"/>
  <c r="C7" i="9" l="1"/>
  <c r="G37" i="9"/>
  <c r="B39" i="6" l="1"/>
  <c r="B39" i="5"/>
  <c r="B38" i="4"/>
  <c r="B50" i="3"/>
  <c r="B41" i="9"/>
  <c r="B41" i="2"/>
  <c r="B33" i="1"/>
  <c r="D36" i="9" l="1"/>
  <c r="D36" i="2"/>
  <c r="G25" i="1" l="1"/>
  <c r="J36" i="9" l="1"/>
  <c r="H36" i="2"/>
  <c r="L25" i="1" l="1"/>
  <c r="F14" i="1" l="1"/>
  <c r="G32" i="4" l="1"/>
  <c r="F32" i="4"/>
  <c r="D32" i="4"/>
  <c r="C32" i="4"/>
  <c r="B32" i="4"/>
  <c r="E26" i="1"/>
  <c r="F27" i="1"/>
  <c r="F7" i="1" s="1"/>
  <c r="N26" i="1"/>
  <c r="N7" i="1" s="1"/>
  <c r="B36" i="2"/>
  <c r="E36" i="2" s="1"/>
  <c r="I36" i="2" s="1"/>
  <c r="G36" i="2" s="1"/>
  <c r="B36" i="9"/>
  <c r="E36" i="9" s="1"/>
  <c r="K36" i="9" s="1"/>
  <c r="G36" i="9" l="1"/>
  <c r="K38" i="9"/>
  <c r="J35" i="9"/>
  <c r="H35" i="2"/>
  <c r="I36" i="9" l="1"/>
  <c r="I38" i="9" s="1"/>
  <c r="G38" i="9"/>
  <c r="D35" i="9"/>
  <c r="D35" i="2"/>
  <c r="G24" i="1" l="1"/>
  <c r="L24" i="1" l="1"/>
  <c r="J24" i="1" l="1"/>
  <c r="B35" i="9"/>
  <c r="E35" i="9" s="1"/>
  <c r="K35" i="9" s="1"/>
  <c r="G35" i="9" s="1"/>
  <c r="I35" i="9" s="1"/>
  <c r="B35" i="2"/>
  <c r="E35" i="2" s="1"/>
  <c r="I35" i="2" s="1"/>
  <c r="G35" i="2" s="1"/>
  <c r="D46" i="3" l="1"/>
  <c r="H34" i="2" l="1"/>
  <c r="H33" i="2"/>
  <c r="H32" i="2"/>
  <c r="H31" i="2"/>
  <c r="H30" i="2"/>
  <c r="H29" i="2"/>
  <c r="H28" i="2"/>
  <c r="H27" i="2"/>
  <c r="H26" i="2"/>
  <c r="H7" i="2" s="1"/>
  <c r="H22" i="2"/>
  <c r="H21" i="2"/>
  <c r="H20" i="2"/>
  <c r="H19" i="2"/>
  <c r="H18" i="2"/>
  <c r="H17" i="2"/>
  <c r="H16" i="2"/>
  <c r="H15" i="2"/>
  <c r="H14" i="2"/>
  <c r="H13" i="2"/>
  <c r="H12" i="2"/>
  <c r="H11" i="2"/>
  <c r="D34" i="2"/>
  <c r="D33" i="2"/>
  <c r="D32" i="2"/>
  <c r="D31" i="2"/>
  <c r="D30" i="2"/>
  <c r="D29" i="2"/>
  <c r="D28" i="2"/>
  <c r="D27" i="2"/>
  <c r="D26" i="2"/>
  <c r="D22" i="2"/>
  <c r="D21" i="2"/>
  <c r="D19" i="2"/>
  <c r="D18" i="2"/>
  <c r="D17" i="2"/>
  <c r="D16" i="2"/>
  <c r="D15" i="2"/>
  <c r="D14" i="2"/>
  <c r="D13" i="2"/>
  <c r="D12" i="2"/>
  <c r="D11" i="2"/>
  <c r="D7" i="2" l="1"/>
  <c r="D34" i="9"/>
  <c r="D33" i="9"/>
  <c r="D32" i="9"/>
  <c r="D31" i="9"/>
  <c r="D30" i="9"/>
  <c r="D29" i="9"/>
  <c r="D28" i="9"/>
  <c r="D27" i="9"/>
  <c r="D26" i="9"/>
  <c r="D22" i="9"/>
  <c r="D21" i="9"/>
  <c r="D20" i="9"/>
  <c r="D19" i="9"/>
  <c r="D18" i="9"/>
  <c r="D17" i="9"/>
  <c r="D16" i="9"/>
  <c r="D15" i="9"/>
  <c r="D14" i="9"/>
  <c r="D13" i="9"/>
  <c r="D12" i="9"/>
  <c r="D11" i="9"/>
  <c r="J34" i="9" l="1"/>
  <c r="J33" i="9"/>
  <c r="J32" i="9"/>
  <c r="J31" i="9"/>
  <c r="J30" i="9"/>
  <c r="J29" i="9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2" i="9"/>
  <c r="J11" i="9"/>
  <c r="G23" i="1" l="1"/>
  <c r="G26" i="1" s="1"/>
  <c r="H26" i="1" s="1"/>
  <c r="M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J23" i="1" l="1"/>
  <c r="J26" i="1" s="1"/>
  <c r="K26" i="1" s="1"/>
  <c r="J21" i="1"/>
  <c r="J20" i="1"/>
  <c r="B34" i="9"/>
  <c r="E34" i="9" s="1"/>
  <c r="K34" i="9" s="1"/>
  <c r="G34" i="9" s="1"/>
  <c r="I34" i="9" s="1"/>
  <c r="B34" i="2"/>
  <c r="E34" i="2" s="1"/>
  <c r="I34" i="2" s="1"/>
  <c r="G34" i="2" s="1"/>
  <c r="E22" i="1" l="1"/>
  <c r="B33" i="2"/>
  <c r="E33" i="2" s="1"/>
  <c r="I33" i="2" s="1"/>
  <c r="G33" i="2" s="1"/>
  <c r="B33" i="9"/>
  <c r="E33" i="9" s="1"/>
  <c r="K33" i="9" s="1"/>
  <c r="G33" i="9" s="1"/>
  <c r="I33" i="9" s="1"/>
  <c r="B32" i="9" l="1"/>
  <c r="E32" i="9" s="1"/>
  <c r="K32" i="9" s="1"/>
  <c r="G32" i="9" s="1"/>
  <c r="I32" i="9" s="1"/>
  <c r="B32" i="2"/>
  <c r="E32" i="2" s="1"/>
  <c r="I32" i="2" s="1"/>
  <c r="G32" i="2" s="1"/>
  <c r="E46" i="3" l="1"/>
  <c r="H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I8" i="3" s="1"/>
  <c r="B8" i="9"/>
  <c r="E8" i="9" s="1"/>
  <c r="K8" i="9" s="1"/>
  <c r="G8" i="9" s="1"/>
  <c r="I8" i="9" s="1"/>
  <c r="B8" i="2"/>
  <c r="E8" i="2" s="1"/>
  <c r="I8" i="2" s="1"/>
  <c r="E8" i="1"/>
  <c r="M8" i="1" s="1"/>
  <c r="K8" i="1" s="1"/>
  <c r="D8" i="1"/>
  <c r="B31" i="9"/>
  <c r="B31" i="2"/>
  <c r="E31" i="2" s="1"/>
  <c r="I31" i="2" s="1"/>
  <c r="L22" i="1"/>
  <c r="J19" i="1"/>
  <c r="J22" i="1" s="1"/>
  <c r="G22" i="1"/>
  <c r="H22" i="1" l="1"/>
  <c r="M22" i="1" s="1"/>
  <c r="K22" i="1" s="1"/>
  <c r="E31" i="9"/>
  <c r="K31" i="9" s="1"/>
  <c r="G31" i="9" s="1"/>
  <c r="I31" i="9" s="1"/>
  <c r="G31" i="2"/>
  <c r="J17" i="1"/>
  <c r="B30" i="9"/>
  <c r="B30" i="2"/>
  <c r="E18" i="1"/>
  <c r="E30" i="9" l="1"/>
  <c r="K30" i="9" s="1"/>
  <c r="G30" i="9" s="1"/>
  <c r="I30" i="9" s="1"/>
  <c r="E30" i="2"/>
  <c r="I30" i="2" s="1"/>
  <c r="G30" i="2" s="1"/>
  <c r="J16" i="1" l="1"/>
  <c r="B29" i="9"/>
  <c r="E29" i="9" s="1"/>
  <c r="K29" i="9" s="1"/>
  <c r="G29" i="9" s="1"/>
  <c r="I29" i="9" s="1"/>
  <c r="B29" i="2"/>
  <c r="E29" i="2" s="1"/>
  <c r="I29" i="2" s="1"/>
  <c r="G29" i="2" s="1"/>
  <c r="L18" i="1"/>
  <c r="G18" i="1"/>
  <c r="H18" i="1" s="1"/>
  <c r="M18" i="1" s="1"/>
  <c r="J15" i="1"/>
  <c r="J13" i="1"/>
  <c r="J18" i="1" l="1"/>
  <c r="K18" i="1" s="1"/>
  <c r="B28" i="9"/>
  <c r="E28" i="9" s="1"/>
  <c r="K28" i="9" s="1"/>
  <c r="G28" i="9" s="1"/>
  <c r="I28" i="9" s="1"/>
  <c r="B28" i="2"/>
  <c r="E28" i="2" s="1"/>
  <c r="I28" i="2" s="1"/>
  <c r="G28" i="2" s="1"/>
  <c r="B27" i="9" l="1"/>
  <c r="B27" i="2"/>
  <c r="E27" i="9" l="1"/>
  <c r="K27" i="9" s="1"/>
  <c r="G27" i="9" s="1"/>
  <c r="I27" i="9" s="1"/>
  <c r="E27" i="2"/>
  <c r="I27" i="2" s="1"/>
  <c r="G27" i="2" s="1"/>
  <c r="J12" i="1" l="1"/>
  <c r="B26" i="9" l="1"/>
  <c r="E26" i="9" s="1"/>
  <c r="K26" i="9" s="1"/>
  <c r="G26" i="9" s="1"/>
  <c r="I26" i="9" s="1"/>
  <c r="B26" i="2"/>
  <c r="E26" i="2" l="1"/>
  <c r="I26" i="2" s="1"/>
  <c r="E38" i="2"/>
  <c r="E7" i="2" s="1"/>
  <c r="B20" i="3"/>
  <c r="G26" i="2" l="1"/>
  <c r="G38" i="2" s="1"/>
  <c r="G7" i="2" s="1"/>
  <c r="I38" i="2"/>
  <c r="I7" i="2" s="1"/>
  <c r="L14" i="1"/>
  <c r="L7" i="1" s="1"/>
  <c r="G14" i="1"/>
  <c r="H27" i="1" l="1"/>
  <c r="G7" i="1"/>
  <c r="H14" i="1"/>
  <c r="M14" i="1" s="1"/>
  <c r="M27" i="1" s="1"/>
  <c r="J11" i="1"/>
  <c r="J14" i="1" s="1"/>
  <c r="J27" i="1" s="1"/>
  <c r="J7" i="1" s="1"/>
  <c r="K14" i="1" l="1"/>
  <c r="K27" i="1" s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B21" i="9" l="1"/>
  <c r="E21" i="9" s="1"/>
  <c r="K21" i="9" s="1"/>
  <c r="G21" i="9" s="1"/>
  <c r="I21" i="9" s="1"/>
  <c r="B21" i="2"/>
  <c r="E21" i="2" s="1"/>
  <c r="I21" i="2" s="1"/>
  <c r="G21" i="2" s="1"/>
  <c r="B20" i="9" l="1"/>
  <c r="E20" i="9" s="1"/>
  <c r="K20" i="9" s="1"/>
  <c r="D20" i="2"/>
  <c r="B20" i="2"/>
  <c r="E20" i="2" s="1"/>
  <c r="I20" i="2" s="1"/>
  <c r="G20" i="9" l="1"/>
  <c r="G20" i="2"/>
  <c r="I20" i="9" l="1"/>
  <c r="D45" i="3"/>
  <c r="B7" i="9"/>
  <c r="D7" i="1"/>
  <c r="B19" i="9"/>
  <c r="B19" i="2"/>
  <c r="E19" i="2" l="1"/>
  <c r="I19" i="2" s="1"/>
  <c r="G19" i="2" s="1"/>
  <c r="E19" i="9"/>
  <c r="K19" i="9" s="1"/>
  <c r="G19" i="9" s="1"/>
  <c r="D6" i="9"/>
  <c r="J6" i="9" l="1"/>
  <c r="I19" i="9"/>
  <c r="H6" i="2" l="1"/>
  <c r="D6" i="2"/>
  <c r="B18" i="9" l="1"/>
  <c r="B18" i="2"/>
  <c r="E18" i="2" s="1"/>
  <c r="E18" i="9" l="1"/>
  <c r="K18" i="9" s="1"/>
  <c r="G18" i="9" s="1"/>
  <c r="I18" i="2"/>
  <c r="G18" i="2" s="1"/>
  <c r="I18" i="9" l="1"/>
  <c r="I19" i="3"/>
  <c r="B7" i="2" l="1"/>
  <c r="B17" i="9" l="1"/>
  <c r="E17" i="9" s="1"/>
  <c r="B17" i="2"/>
  <c r="E17" i="2" s="1"/>
  <c r="K17" i="9" l="1"/>
  <c r="G17" i="9" s="1"/>
  <c r="I17" i="9" s="1"/>
  <c r="I17" i="2"/>
  <c r="G17" i="2" l="1"/>
  <c r="B16" i="9" l="1"/>
  <c r="E16" i="9" s="1"/>
  <c r="K16" i="9" s="1"/>
  <c r="G16" i="9" s="1"/>
  <c r="I16" i="9" s="1"/>
  <c r="B16" i="2"/>
  <c r="E16" i="2" s="1"/>
  <c r="K7" i="9"/>
  <c r="G7" i="9" s="1"/>
  <c r="I7" i="9" s="1"/>
  <c r="I16" i="2" l="1"/>
  <c r="G16" i="2" s="1"/>
  <c r="B7" i="3"/>
  <c r="E7" i="3" s="1"/>
  <c r="E20" i="3"/>
  <c r="G20" i="3" s="1"/>
  <c r="I20" i="3" s="1"/>
  <c r="B32" i="3"/>
  <c r="E45" i="3"/>
  <c r="H45" i="3" s="1"/>
  <c r="D44" i="3"/>
  <c r="E32" i="3" l="1"/>
  <c r="I32" i="3" s="1"/>
  <c r="G32" i="3" s="1"/>
  <c r="B15" i="2"/>
  <c r="E15" i="2" l="1"/>
  <c r="I15" i="2" l="1"/>
  <c r="G15" i="2" s="1"/>
  <c r="E19" i="3"/>
  <c r="B15" i="9"/>
  <c r="E15" i="9" s="1"/>
  <c r="K15" i="9" s="1"/>
  <c r="G15" i="9" s="1"/>
  <c r="I15" i="9" s="1"/>
  <c r="B14" i="2" l="1"/>
  <c r="E14" i="2" s="1"/>
  <c r="B14" i="9"/>
  <c r="E14" i="9" s="1"/>
  <c r="K14" i="9" s="1"/>
  <c r="G14" i="9" s="1"/>
  <c r="I14" i="9" s="1"/>
  <c r="I14" i="2" l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B12" i="9" l="1"/>
  <c r="E12" i="9" s="1"/>
  <c r="K12" i="9" s="1"/>
  <c r="G12" i="9" s="1"/>
  <c r="I12" i="9" s="1"/>
  <c r="B12" i="2"/>
  <c r="E12" i="2" s="1"/>
  <c r="I12" i="2" l="1"/>
  <c r="G12" i="2" s="1"/>
  <c r="E23" i="2"/>
  <c r="E6" i="2" s="1"/>
  <c r="E23" i="9" l="1"/>
  <c r="E6" i="9" s="1"/>
  <c r="K6" i="9" s="1"/>
  <c r="H44" i="3" l="1"/>
  <c r="E31" i="3"/>
  <c r="E6" i="3"/>
  <c r="I31" i="3" l="1"/>
  <c r="G31" i="3" s="1"/>
  <c r="D6" i="1" l="1"/>
  <c r="E11" i="9" l="1"/>
  <c r="E11" i="2"/>
  <c r="K11" i="9" l="1"/>
  <c r="I11" i="2"/>
  <c r="I23" i="2" s="1"/>
  <c r="I6" i="2" s="1"/>
  <c r="G11" i="2"/>
  <c r="G23" i="2" s="1"/>
  <c r="G6" i="2" s="1"/>
  <c r="K23" i="9" l="1"/>
  <c r="G11" i="9"/>
  <c r="I11" i="9" l="1"/>
  <c r="I23" i="9" s="1"/>
  <c r="I6" i="9" s="1"/>
  <c r="G23" i="9"/>
  <c r="G6" i="9" s="1"/>
  <c r="H6" i="1" l="1"/>
  <c r="M6" i="1" s="1"/>
  <c r="K6" i="1" s="1"/>
  <c r="E7" i="1" l="1"/>
  <c r="H7" i="1" s="1"/>
  <c r="M7" i="1" s="1"/>
  <c r="K7" i="1" s="1"/>
</calcChain>
</file>

<file path=xl/sharedStrings.xml><?xml version="1.0" encoding="utf-8"?>
<sst xmlns="http://schemas.openxmlformats.org/spreadsheetml/2006/main" count="520" uniqueCount="193">
  <si>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</si>
  <si>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</si>
  <si>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</si>
  <si>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</si>
  <si>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</si>
  <si>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</si>
  <si>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</si>
  <si>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</si>
  <si>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</si>
  <si>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</si>
  <si>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</si>
  <si>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</si>
  <si>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</si>
  <si>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</si>
  <si>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</si>
  <si>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</si>
  <si>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</si>
  <si>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</si>
  <si>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</si>
  <si>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</si>
  <si>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</si>
  <si>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</si>
  <si>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</si>
  <si>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</si>
  <si>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</si>
  <si>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</si>
  <si>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</si>
  <si>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</si>
  <si>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</si>
  <si>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</si>
  <si>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</si>
  <si>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</si>
  <si>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</si>
  <si>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</si>
  <si>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</si>
  <si>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</si>
  <si>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</si>
  <si>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</si>
  <si>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</si>
  <si>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</si>
  <si>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</si>
  <si>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</si>
  <si>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</si>
  <si>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</si>
  <si>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</si>
  <si>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</si>
  <si>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</si>
  <si>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</si>
  <si>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</si>
  <si>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</si>
  <si>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</si>
  <si>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</si>
  <si>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</si>
  <si>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</si>
  <si>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</si>
  <si>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</si>
  <si>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</si>
  <si>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</si>
  <si>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</si>
  <si>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</si>
  <si>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</si>
  <si>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</si>
  <si>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</si>
  <si>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</si>
  <si>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</si>
  <si>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</si>
  <si>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</si>
  <si>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</si>
  <si>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</si>
  <si>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</si>
  <si>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</si>
  <si>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</si>
  <si>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</si>
  <si>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</si>
  <si>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</si>
  <si>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</si>
  <si>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</si>
  <si>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</si>
  <si>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</si>
  <si>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</si>
  <si>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</si>
  <si>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</si>
  <si>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</si>
  <si>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</si>
  <si>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</si>
  <si>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</si>
  <si>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</si>
  <si>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</si>
  <si>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</si>
  <si>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</si>
  <si>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</si>
  <si>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</si>
  <si>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</si>
  <si>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</si>
  <si>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</si>
  <si>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</si>
  <si>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</si>
  <si>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</si>
  <si>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</si>
  <si>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</si>
  <si>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</si>
  <si>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</si>
  <si>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</si>
  <si>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</si>
  <si>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</si>
  <si>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</si>
  <si>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</si>
  <si>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</si>
  <si>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</si>
  <si>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</si>
  <si>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</si>
  <si>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</si>
  <si>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</si>
  <si>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</si>
  <si>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</si>
  <si>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</si>
  <si>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</si>
  <si>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</si>
  <si>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</si>
  <si>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</si>
  <si>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</si>
  <si>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</si>
  <si>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</si>
  <si>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</si>
  <si>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</si>
  <si>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</si>
  <si>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</si>
  <si>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</si>
  <si>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</si>
  <si>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</si>
  <si>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</si>
  <si>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</si>
  <si>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</si>
  <si>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</si>
  <si>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</si>
  <si>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</si>
  <si>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</si>
  <si>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</si>
  <si>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</si>
  <si>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</si>
  <si>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</si>
  <si>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</si>
  <si>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</si>
  <si>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</si>
  <si>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</si>
  <si>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</si>
  <si>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</si>
  <si>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</si>
  <si>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</si>
  <si>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</si>
  <si>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</si>
  <si>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</si>
  <si>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</si>
  <si>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</si>
  <si>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</si>
  <si>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</si>
  <si>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2022/23</t>
  </si>
  <si>
    <t>Date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</si>
  <si>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</si>
  <si>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</si>
  <si>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</si>
  <si>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</si>
  <si>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</si>
  <si>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</si>
  <si>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</si>
  <si>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May.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</si>
  <si>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</si>
  <si>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</si>
  <si>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</si>
  <si>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</si>
  <si>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</si>
  <si>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</si>
  <si>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</si>
  <si>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</si>
  <si>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</si>
  <si>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</si>
  <si>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</si>
  <si>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May. 2022</t>
  </si>
  <si>
    <t>Jun. 2022</t>
  </si>
  <si>
    <t>Jul. 2022</t>
  </si>
  <si>
    <t>Aug. 2022</t>
  </si>
  <si>
    <t>Sep. 2022</t>
  </si>
  <si>
    <t>Oct. 2022</t>
  </si>
  <si>
    <t xml:space="preserve"> Palm oil stocks</t>
  </si>
  <si>
    <t>Percent of sown acreage harvested</t>
  </si>
  <si>
    <t>Week ending</t>
  </si>
  <si>
    <t>2015–2021 average</t>
  </si>
  <si>
    <t>Argentina, Up River + U.S. import tariff cost</t>
  </si>
  <si>
    <t xml:space="preserve">RBD Palm oil price, FOB Malaysia </t>
  </si>
  <si>
    <t>Argentina, Up River</t>
  </si>
  <si>
    <t>United States, Gulf</t>
  </si>
  <si>
    <t>2022/23 Oct.*</t>
  </si>
  <si>
    <t>2022/23 Nov.*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</si>
</sst>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mm/dd/yy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31" fillId="0" borderId="0"/>
    <xf numFmtId="0" fontId="16" fillId="0" borderId="0"/>
    <xf numFmtId="0" fontId="15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18" fillId="0" borderId="0" xfId="8" applyFont="1"/>
    <xf numFmtId="0" fontId="19" fillId="0" borderId="0" xfId="8" applyFont="1"/>
    <xf numFmtId="0" fontId="24" fillId="0" borderId="0" xfId="8" applyFont="1" applyFill="1"/>
    <xf numFmtId="0" fontId="25" fillId="0" borderId="0" xfId="8" applyFont="1"/>
    <xf numFmtId="169" fontId="26" fillId="0" borderId="0" xfId="1" applyNumberFormat="1" applyFont="1" applyFill="1" applyAlignment="1">
      <alignment horizontal="right" indent="1"/>
    </xf>
    <xf numFmtId="169" fontId="26" fillId="0" borderId="0" xfId="1" applyNumberFormat="1" applyFont="1" applyFill="1" applyBorder="1" applyAlignment="1">
      <alignment horizontal="center"/>
    </xf>
    <xf numFmtId="169" fontId="26" fillId="0" borderId="0" xfId="1" applyNumberFormat="1" applyFont="1" applyFill="1" applyBorder="1" applyAlignment="1">
      <alignment horizontal="right" indent="1"/>
    </xf>
    <xf numFmtId="0" fontId="32" fillId="0" borderId="0" xfId="7" applyFont="1" applyAlignment="1">
      <alignment horizontal="left"/>
    </xf>
    <xf numFmtId="0" fontId="33" fillId="0" borderId="0" xfId="5" applyFont="1" applyAlignment="1" applyProtection="1"/>
    <xf numFmtId="14" fontId="32" fillId="0" borderId="0" xfId="7" applyNumberFormat="1" applyFont="1" applyAlignment="1">
      <alignment horizontal="left"/>
    </xf>
    <xf numFmtId="0" fontId="33" fillId="0" borderId="0" xfId="4" applyFont="1" applyAlignment="1" applyProtection="1"/>
    <xf numFmtId="0" fontId="26" fillId="0" borderId="0" xfId="7" quotePrefix="1" applyFont="1" applyAlignment="1">
      <alignment horizontal="left"/>
    </xf>
    <xf numFmtId="0" fontId="26" fillId="0" borderId="0" xfId="8" applyFont="1" applyBorder="1" applyAlignment="1">
      <alignment wrapText="1"/>
    </xf>
    <xf numFmtId="169" fontId="26" fillId="0" borderId="0" xfId="1" applyNumberFormat="1" applyFont="1" applyFill="1" applyBorder="1" applyAlignment="1">
      <alignment horizontal="right"/>
    </xf>
    <xf numFmtId="2" fontId="26" fillId="0" borderId="1" xfId="0" applyNumberFormat="1" applyFont="1" applyFill="1" applyBorder="1" applyAlignment="1">
      <alignment horizontal="right" indent="2"/>
    </xf>
    <xf numFmtId="0" fontId="26" fillId="0" borderId="1" xfId="0" applyFont="1" applyFill="1" applyBorder="1"/>
    <xf numFmtId="0" fontId="0" fillId="0" borderId="0" xfId="0" applyFill="1"/>
    <xf numFmtId="0" fontId="26" fillId="0" borderId="0" xfId="0" applyFont="1" applyFill="1"/>
    <xf numFmtId="0" fontId="26" fillId="0" borderId="2" xfId="0" applyFont="1" applyFill="1" applyBorder="1" applyAlignment="1">
      <alignment horizontal="right"/>
    </xf>
    <xf numFmtId="0" fontId="26" fillId="0" borderId="0" xfId="0" applyFont="1" applyFill="1" applyAlignment="1">
      <alignment horizontal="center"/>
    </xf>
    <xf numFmtId="0" fontId="0" fillId="0" borderId="2" xfId="0" applyFill="1" applyBorder="1"/>
    <xf numFmtId="0" fontId="26" fillId="0" borderId="0" xfId="0" applyFont="1" applyFill="1" applyBorder="1"/>
    <xf numFmtId="0" fontId="26" fillId="0" borderId="2" xfId="0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16" fontId="26" fillId="0" borderId="1" xfId="0" quotePrefix="1" applyNumberFormat="1" applyFont="1" applyFill="1" applyBorder="1"/>
    <xf numFmtId="16" fontId="26" fillId="0" borderId="1" xfId="0" applyNumberFormat="1" applyFont="1" applyFill="1" applyBorder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7" fillId="0" borderId="3" xfId="0" quotePrefix="1" applyFont="1" applyFill="1" applyBorder="1" applyAlignment="1">
      <alignment horizontal="center"/>
    </xf>
    <xf numFmtId="0" fontId="27" fillId="0" borderId="0" xfId="0" quotePrefix="1" applyFont="1" applyFill="1" applyAlignment="1">
      <alignment horizontal="right"/>
    </xf>
    <xf numFmtId="167" fontId="26" fillId="0" borderId="0" xfId="0" applyNumberFormat="1" applyFont="1" applyFill="1" applyAlignment="1">
      <alignment horizontal="center"/>
    </xf>
    <xf numFmtId="165" fontId="26" fillId="0" borderId="0" xfId="1" applyNumberFormat="1" applyFont="1" applyFill="1" applyAlignment="1">
      <alignment horizontal="left"/>
    </xf>
    <xf numFmtId="165" fontId="26" fillId="0" borderId="0" xfId="1" applyNumberFormat="1" applyFont="1" applyFill="1" applyAlignment="1">
      <alignment horizontal="center"/>
    </xf>
    <xf numFmtId="3" fontId="26" fillId="0" borderId="0" xfId="1" applyNumberFormat="1" applyFont="1" applyFill="1" applyBorder="1" applyAlignment="1">
      <alignment horizontal="right" indent="1"/>
    </xf>
    <xf numFmtId="164" fontId="26" fillId="0" borderId="0" xfId="1" applyNumberFormat="1" applyFont="1" applyFill="1" applyBorder="1"/>
    <xf numFmtId="164" fontId="26" fillId="0" borderId="0" xfId="1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32" fillId="0" borderId="0" xfId="0" applyFont="1" applyFill="1"/>
    <xf numFmtId="169" fontId="26" fillId="0" borderId="0" xfId="1" quotePrefix="1" applyNumberFormat="1" applyFont="1" applyFill="1" applyBorder="1" applyAlignment="1">
      <alignment horizontal="right"/>
    </xf>
    <xf numFmtId="164" fontId="26" fillId="0" borderId="0" xfId="1" applyNumberFormat="1" applyFont="1" applyFill="1" applyBorder="1" applyAlignment="1">
      <alignment horizontal="center"/>
    </xf>
    <xf numFmtId="164" fontId="26" fillId="0" borderId="0" xfId="1" quotePrefix="1" applyNumberFormat="1" applyFont="1" applyFill="1" applyBorder="1" applyAlignment="1">
      <alignment horizontal="center"/>
    </xf>
    <xf numFmtId="169" fontId="0" fillId="0" borderId="0" xfId="0" applyNumberFormat="1" applyFill="1"/>
    <xf numFmtId="169" fontId="26" fillId="0" borderId="1" xfId="1" applyNumberFormat="1" applyFont="1" applyFill="1" applyBorder="1" applyAlignment="1">
      <alignment horizontal="right" indent="1"/>
    </xf>
    <xf numFmtId="164" fontId="26" fillId="0" borderId="0" xfId="1" applyNumberFormat="1" applyFont="1" applyFill="1"/>
    <xf numFmtId="14" fontId="26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26" fillId="0" borderId="0" xfId="1" applyNumberFormat="1" applyFont="1" applyFill="1" applyAlignment="1">
      <alignment horizontal="right" indent="2"/>
    </xf>
    <xf numFmtId="3" fontId="26" fillId="0" borderId="0" xfId="1" applyNumberFormat="1" applyFont="1" applyFill="1" applyAlignment="1">
      <alignment horizontal="right" indent="1"/>
    </xf>
    <xf numFmtId="3" fontId="26" fillId="0" borderId="0" xfId="1" applyNumberFormat="1" applyFont="1" applyFill="1" applyAlignment="1">
      <alignment horizontal="center"/>
    </xf>
    <xf numFmtId="0" fontId="32" fillId="0" borderId="0" xfId="0" applyFont="1" applyFill="1" applyBorder="1"/>
    <xf numFmtId="169" fontId="26" fillId="0" borderId="0" xfId="1" applyNumberFormat="1" applyFont="1" applyFill="1" applyBorder="1" applyAlignment="1">
      <alignment horizontal="right" indent="2"/>
    </xf>
    <xf numFmtId="169" fontId="26" fillId="0" borderId="1" xfId="1" applyNumberFormat="1" applyFont="1" applyFill="1" applyBorder="1" applyAlignment="1">
      <alignment horizontal="right" indent="2"/>
    </xf>
    <xf numFmtId="0" fontId="28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26" fillId="0" borderId="0" xfId="0" applyNumberFormat="1" applyFont="1" applyFill="1" applyBorder="1"/>
    <xf numFmtId="169" fontId="26" fillId="0" borderId="1" xfId="1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/>
    </xf>
    <xf numFmtId="16" fontId="26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right" indent="2"/>
    </xf>
    <xf numFmtId="170" fontId="26" fillId="0" borderId="0" xfId="0" applyNumberFormat="1" applyFont="1" applyFill="1" applyBorder="1"/>
    <xf numFmtId="43" fontId="26" fillId="0" borderId="0" xfId="1" quotePrefix="1" applyNumberFormat="1" applyFont="1" applyFill="1" applyBorder="1" applyAlignment="1">
      <alignment horizontal="center"/>
    </xf>
    <xf numFmtId="166" fontId="26" fillId="0" borderId="0" xfId="1" quotePrefix="1" applyNumberFormat="1" applyFont="1" applyFill="1" applyBorder="1" applyAlignment="1">
      <alignment horizontal="center"/>
    </xf>
    <xf numFmtId="43" fontId="26" fillId="0" borderId="0" xfId="1" quotePrefix="1" applyFont="1" applyFill="1" applyBorder="1" applyAlignment="1">
      <alignment horizontal="center"/>
    </xf>
    <xf numFmtId="43" fontId="26" fillId="0" borderId="0" xfId="1" applyNumberFormat="1" applyFont="1" applyFill="1" applyBorder="1" applyAlignment="1">
      <alignment horizontal="center"/>
    </xf>
    <xf numFmtId="0" fontId="32" fillId="0" borderId="0" xfId="0" quotePrefix="1" applyFont="1" applyFill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indent="1"/>
    </xf>
    <xf numFmtId="0" fontId="26" fillId="0" borderId="3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7" fillId="0" borderId="3" xfId="0" quotePrefix="1" applyFont="1" applyFill="1" applyBorder="1" applyAlignment="1"/>
    <xf numFmtId="0" fontId="27" fillId="0" borderId="3" xfId="0" applyFont="1" applyFill="1" applyBorder="1" applyAlignment="1"/>
    <xf numFmtId="43" fontId="26" fillId="0" borderId="0" xfId="1" applyNumberFormat="1" applyFont="1" applyFill="1" applyBorder="1"/>
    <xf numFmtId="2" fontId="26" fillId="0" borderId="0" xfId="0" applyNumberFormat="1" applyFont="1" applyFill="1" applyBorder="1" applyAlignment="1">
      <alignment horizontal="center"/>
    </xf>
    <xf numFmtId="43" fontId="26" fillId="0" borderId="0" xfId="0" applyNumberFormat="1" applyFont="1" applyFill="1"/>
    <xf numFmtId="0" fontId="21" fillId="0" borderId="0" xfId="0" applyFont="1" applyFill="1"/>
    <xf numFmtId="2" fontId="0" fillId="0" borderId="0" xfId="0" applyNumberFormat="1" applyFill="1"/>
    <xf numFmtId="165" fontId="26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26" fillId="0" borderId="0" xfId="1" applyFont="1" applyFill="1" applyBorder="1" applyAlignment="1">
      <alignment horizontal="center"/>
    </xf>
    <xf numFmtId="43" fontId="0" fillId="0" borderId="0" xfId="1" applyFont="1" applyFill="1"/>
    <xf numFmtId="0" fontId="30" fillId="0" borderId="0" xfId="0" applyFont="1" applyFill="1" applyAlignment="1">
      <alignment vertical="center"/>
    </xf>
    <xf numFmtId="168" fontId="26" fillId="0" borderId="0" xfId="0" applyNumberFormat="1" applyFont="1" applyFill="1"/>
    <xf numFmtId="2" fontId="26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26" fillId="0" borderId="3" xfId="0" applyFont="1" applyFill="1" applyBorder="1"/>
    <xf numFmtId="0" fontId="26" fillId="0" borderId="0" xfId="0" applyFont="1" applyFill="1" applyBorder="1" applyAlignment="1">
      <alignment horizontal="right"/>
    </xf>
    <xf numFmtId="165" fontId="26" fillId="0" borderId="0" xfId="1" applyNumberFormat="1" applyFont="1" applyFill="1"/>
    <xf numFmtId="37" fontId="26" fillId="0" borderId="0" xfId="1" applyNumberFormat="1" applyFont="1" applyFill="1" applyBorder="1" applyAlignment="1">
      <alignment horizontal="center"/>
    </xf>
    <xf numFmtId="37" fontId="26" fillId="0" borderId="0" xfId="1" applyNumberFormat="1" applyFont="1" applyFill="1" applyBorder="1" applyAlignment="1">
      <alignment horizontal="right" indent="2"/>
    </xf>
    <xf numFmtId="165" fontId="26" fillId="0" borderId="0" xfId="1" applyNumberFormat="1" applyFont="1" applyFill="1" applyBorder="1"/>
    <xf numFmtId="37" fontId="26" fillId="0" borderId="0" xfId="1" applyNumberFormat="1" applyFont="1" applyFill="1" applyBorder="1" applyAlignment="1">
      <alignment horizontal="right" indent="1"/>
    </xf>
    <xf numFmtId="37" fontId="26" fillId="0" borderId="1" xfId="1" applyNumberFormat="1" applyFont="1" applyFill="1" applyBorder="1" applyAlignment="1">
      <alignment horizontal="center"/>
    </xf>
    <xf numFmtId="37" fontId="26" fillId="0" borderId="1" xfId="1" applyNumberFormat="1" applyFont="1" applyFill="1" applyBorder="1" applyAlignment="1">
      <alignment horizontal="right" indent="2"/>
    </xf>
    <xf numFmtId="165" fontId="26" fillId="0" borderId="1" xfId="1" applyNumberFormat="1" applyFont="1" applyFill="1" applyBorder="1"/>
    <xf numFmtId="37" fontId="26" fillId="0" borderId="1" xfId="1" applyNumberFormat="1" applyFont="1" applyFill="1" applyBorder="1" applyAlignment="1">
      <alignment horizontal="right" indent="1"/>
    </xf>
    <xf numFmtId="9" fontId="26" fillId="0" borderId="0" xfId="12" applyFont="1" applyFill="1"/>
    <xf numFmtId="1" fontId="26" fillId="0" borderId="0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/>
    </xf>
    <xf numFmtId="0" fontId="27" fillId="0" borderId="4" xfId="0" applyFont="1" applyFill="1" applyBorder="1" applyAlignment="1">
      <alignment horizontal="center"/>
    </xf>
    <xf numFmtId="14" fontId="26" fillId="0" borderId="0" xfId="0" applyNumberFormat="1" applyFont="1" applyFill="1" applyAlignment="1">
      <alignment horizontal="right" indent="1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3" fontId="0" fillId="0" borderId="0" xfId="0" applyNumberFormat="1" applyFill="1"/>
    <xf numFmtId="169" fontId="26" fillId="0" borderId="0" xfId="1" applyNumberFormat="1" applyFont="1" applyFill="1" applyAlignment="1">
      <alignment horizontal="center"/>
    </xf>
    <xf numFmtId="0" fontId="28" fillId="0" borderId="3" xfId="0" applyFont="1" applyFill="1" applyBorder="1"/>
    <xf numFmtId="164" fontId="26" fillId="0" borderId="3" xfId="0" applyNumberFormat="1" applyFont="1" applyFill="1" applyBorder="1"/>
    <xf numFmtId="43" fontId="26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17" fillId="0" borderId="0" xfId="8" applyFont="1"/>
    <xf numFmtId="0" fontId="17" fillId="0" borderId="0" xfId="8" applyFont="1" applyFill="1"/>
    <xf numFmtId="0" fontId="17" fillId="0" borderId="0" xfId="0" applyFont="1" applyFill="1" applyBorder="1"/>
    <xf numFmtId="0" fontId="17" fillId="0" borderId="0" xfId="0" applyFont="1" applyFill="1"/>
    <xf numFmtId="2" fontId="34" fillId="0" borderId="0" xfId="0" applyNumberFormat="1" applyFont="1" applyFill="1" applyBorder="1" applyAlignment="1">
      <alignment horizontal="right" indent="2"/>
    </xf>
    <xf numFmtId="4" fontId="35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right"/>
    </xf>
    <xf numFmtId="172" fontId="21" fillId="0" borderId="0" xfId="12" applyNumberFormat="1" applyFont="1" applyFill="1"/>
    <xf numFmtId="2" fontId="17" fillId="0" borderId="0" xfId="0" applyNumberFormat="1" applyFont="1" applyFill="1" applyAlignment="1">
      <alignment horizontal="right"/>
    </xf>
    <xf numFmtId="0" fontId="32" fillId="0" borderId="1" xfId="0" applyFont="1" applyBorder="1"/>
    <xf numFmtId="0" fontId="26" fillId="0" borderId="0" xfId="0" applyFont="1"/>
    <xf numFmtId="4" fontId="0" fillId="0" borderId="0" xfId="0" applyNumberFormat="1"/>
    <xf numFmtId="169" fontId="26" fillId="0" borderId="0" xfId="1" applyNumberFormat="1" applyFont="1" applyBorder="1" applyAlignment="1">
      <alignment horizontal="right" indent="1"/>
    </xf>
    <xf numFmtId="0" fontId="17" fillId="0" borderId="0" xfId="20"/>
    <xf numFmtId="37" fontId="0" fillId="0" borderId="0" xfId="0" applyNumberFormat="1" applyFill="1"/>
    <xf numFmtId="2" fontId="34" fillId="0" borderId="1" xfId="0" applyNumberFormat="1" applyFont="1" applyBorder="1" applyAlignment="1">
      <alignment horizontal="right" indent="2"/>
    </xf>
    <xf numFmtId="3" fontId="17" fillId="0" borderId="0" xfId="20" applyNumberFormat="1"/>
    <xf numFmtId="3" fontId="26" fillId="0" borderId="0" xfId="0" applyNumberFormat="1" applyFont="1"/>
    <xf numFmtId="0" fontId="36" fillId="0" borderId="0" xfId="36" applyFont="1" applyAlignment="1">
      <alignment horizontal="center"/>
    </xf>
    <xf numFmtId="165" fontId="17" fillId="0" borderId="0" xfId="20" applyNumberFormat="1"/>
    <xf numFmtId="3" fontId="38" fillId="0" borderId="0" xfId="1" applyNumberFormat="1" applyFont="1" applyFill="1"/>
    <xf numFmtId="0" fontId="26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32" fillId="0" borderId="0" xfId="0" quotePrefix="1" applyFont="1" applyFill="1" applyBorder="1"/>
    <xf numFmtId="2" fontId="34" fillId="0" borderId="0" xfId="0" applyNumberFormat="1" applyFont="1" applyBorder="1" applyAlignment="1">
      <alignment horizontal="right" indent="2"/>
    </xf>
    <xf numFmtId="0" fontId="39" fillId="0" borderId="1" xfId="29" applyFont="1" applyBorder="1" applyAlignment="1">
      <alignment horizontal="center" wrapText="1"/>
    </xf>
    <xf numFmtId="0" fontId="37" fillId="0" borderId="1" xfId="39" applyFont="1" applyBorder="1" applyAlignment="1">
      <alignment horizontal="center" wrapText="1"/>
    </xf>
    <xf numFmtId="0" fontId="24" fillId="0" borderId="1" xfId="20" quotePrefix="1" applyFont="1" applyBorder="1" applyAlignment="1">
      <alignment horizontal="center"/>
    </xf>
    <xf numFmtId="0" fontId="36" fillId="0" borderId="0" xfId="39" applyFont="1"/>
    <xf numFmtId="0" fontId="40" fillId="0" borderId="0" xfId="20" quotePrefix="1" applyFont="1" applyAlignment="1">
      <alignment horizontal="center"/>
    </xf>
    <xf numFmtId="165" fontId="40" fillId="0" borderId="0" xfId="14" applyNumberFormat="1" applyFont="1" applyAlignment="1">
      <alignment horizontal="center"/>
    </xf>
    <xf numFmtId="39" fontId="40" fillId="0" borderId="0" xfId="14" applyNumberFormat="1" applyFont="1" applyAlignment="1">
      <alignment horizontal="center"/>
    </xf>
    <xf numFmtId="41" fontId="3" fillId="0" borderId="0" xfId="33" applyNumberFormat="1" applyFont="1" applyFill="1" applyAlignment="1">
      <alignment horizontal="center"/>
    </xf>
    <xf numFmtId="41" fontId="36" fillId="0" borderId="0" xfId="33" applyNumberFormat="1" applyFont="1" applyFill="1"/>
    <xf numFmtId="0" fontId="36" fillId="0" borderId="0" xfId="39" applyFont="1" applyAlignment="1">
      <alignment horizontal="center"/>
    </xf>
    <xf numFmtId="165" fontId="38" fillId="0" borderId="0" xfId="14" applyNumberFormat="1" applyFont="1" applyFill="1"/>
    <xf numFmtId="41" fontId="36" fillId="0" borderId="0" xfId="33" applyNumberFormat="1" applyFont="1" applyFill="1" applyAlignment="1">
      <alignment horizontal="center"/>
    </xf>
    <xf numFmtId="0" fontId="17" fillId="0" borderId="0" xfId="20" applyBorder="1"/>
    <xf numFmtId="0" fontId="37" fillId="0" borderId="0" xfId="36" applyFont="1" applyBorder="1" applyAlignment="1">
      <alignment horizontal="center" wrapText="1"/>
    </xf>
    <xf numFmtId="3" fontId="38" fillId="0" borderId="0" xfId="1" applyNumberFormat="1" applyFont="1" applyFill="1" applyBorder="1"/>
    <xf numFmtId="0" fontId="24" fillId="0" borderId="0" xfId="20" applyFont="1"/>
    <xf numFmtId="0" fontId="24" fillId="0" borderId="0" xfId="20" applyFont="1" applyAlignment="1">
      <alignment horizontal="centerContinuous"/>
    </xf>
    <xf numFmtId="173" fontId="0" fillId="0" borderId="0" xfId="0" applyNumberFormat="1"/>
    <xf numFmtId="0" fontId="24" fillId="0" borderId="0" xfId="20" applyFont="1" applyAlignment="1">
      <alignment wrapText="1"/>
    </xf>
    <xf numFmtId="39" fontId="36" fillId="0" borderId="0" xfId="39" applyNumberFormat="1" applyFont="1"/>
    <xf numFmtId="172" fontId="36" fillId="0" borderId="0" xfId="12" applyNumberFormat="1" applyFont="1"/>
    <xf numFmtId="43" fontId="36" fillId="0" borderId="0" xfId="39" applyNumberFormat="1" applyFont="1"/>
    <xf numFmtId="9" fontId="36" fillId="0" borderId="0" xfId="12" applyFont="1" applyFill="1" applyAlignment="1">
      <alignment horizontal="center"/>
    </xf>
    <xf numFmtId="0" fontId="39" fillId="0" borderId="1" xfId="41" applyFont="1" applyBorder="1" applyAlignment="1">
      <alignment horizontal="center" wrapText="1"/>
    </xf>
    <xf numFmtId="0" fontId="26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2" xfId="0" quotePrefix="1" applyFont="1" applyFill="1" applyBorder="1" applyAlignment="1">
      <alignment horizontal="center"/>
    </xf>
    <xf numFmtId="0" fontId="27" fillId="0" borderId="5" xfId="0" quotePrefix="1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</cellXfs>
  <cellStyles count="42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2 2" xfId="40" xr:uid="{AF392839-9EFD-46E7-9522-B670F46A3E86}"/>
    <cellStyle name="Normal 11 3" xfId="32" xr:uid="{5440E113-77DF-4DAD-9026-4858CCB03DB9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7" xfId="37" xr:uid="{6CE0624E-52F1-420A-B337-3C1B5BC972EB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00FF"/>
      <color rgb="FFC0504D"/>
      <color rgb="FFFFCF01"/>
      <color rgb="FFFA6400"/>
      <color rgb="FFC0502F"/>
      <color rgb="FFD99694"/>
      <color rgb="FFFB0BCD"/>
      <color rgb="FFFFFF00"/>
      <color rgb="FFBE4D4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harvest progress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28952150212006E-2"/>
          <c:y val="0.20825296889675429"/>
          <c:w val="0.89702503533212208"/>
          <c:h val="0.5253062683580916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2015–2021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1'!$A$3:$A$10</c:f>
              <c:numCache>
                <c:formatCode>mm/dd/yy</c:formatCode>
                <c:ptCount val="8"/>
                <c:pt idx="0">
                  <c:v>44822</c:v>
                </c:pt>
                <c:pt idx="1">
                  <c:v>44829</c:v>
                </c:pt>
                <c:pt idx="2">
                  <c:v>44836</c:v>
                </c:pt>
                <c:pt idx="3">
                  <c:v>44843</c:v>
                </c:pt>
                <c:pt idx="4">
                  <c:v>44850</c:v>
                </c:pt>
                <c:pt idx="5">
                  <c:v>44857</c:v>
                </c:pt>
                <c:pt idx="6">
                  <c:v>44864</c:v>
                </c:pt>
                <c:pt idx="7">
                  <c:v>44871</c:v>
                </c:pt>
              </c:numCache>
            </c:numRef>
          </c:cat>
          <c:val>
            <c:numRef>
              <c:f>'Figure 1'!$B$3:$B$10</c:f>
              <c:numCache>
                <c:formatCode>General</c:formatCode>
                <c:ptCount val="8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3">
                  <c:v>38</c:v>
                </c:pt>
                <c:pt idx="4">
                  <c:v>52</c:v>
                </c:pt>
                <c:pt idx="5">
                  <c:v>67</c:v>
                </c:pt>
                <c:pt idx="6">
                  <c:v>78</c:v>
                </c:pt>
                <c:pt idx="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C-4DA1-80F5-46C808BC71A2}"/>
            </c:ext>
          </c:extLst>
        </c:ser>
        <c:ser>
          <c:idx val="1"/>
          <c:order val="1"/>
          <c:tx>
            <c:strRef>
              <c:f>'Figure 1'!$C$2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'Figure 1'!$A$3:$A$10</c:f>
              <c:numCache>
                <c:formatCode>mm/dd/yy</c:formatCode>
                <c:ptCount val="8"/>
                <c:pt idx="0">
                  <c:v>44822</c:v>
                </c:pt>
                <c:pt idx="1">
                  <c:v>44829</c:v>
                </c:pt>
                <c:pt idx="2">
                  <c:v>44836</c:v>
                </c:pt>
                <c:pt idx="3">
                  <c:v>44843</c:v>
                </c:pt>
                <c:pt idx="4">
                  <c:v>44850</c:v>
                </c:pt>
                <c:pt idx="5">
                  <c:v>44857</c:v>
                </c:pt>
                <c:pt idx="6">
                  <c:v>44864</c:v>
                </c:pt>
                <c:pt idx="7">
                  <c:v>44871</c:v>
                </c:pt>
              </c:numCache>
            </c:numRef>
          </c:cat>
          <c:val>
            <c:numRef>
              <c:f>'Figure 1'!$C$3:$C$10</c:f>
              <c:numCache>
                <c:formatCode>General</c:formatCode>
                <c:ptCount val="8"/>
                <c:pt idx="0">
                  <c:v>6</c:v>
                </c:pt>
                <c:pt idx="1">
                  <c:v>16</c:v>
                </c:pt>
                <c:pt idx="2">
                  <c:v>34</c:v>
                </c:pt>
                <c:pt idx="3">
                  <c:v>49</c:v>
                </c:pt>
                <c:pt idx="4">
                  <c:v>60</c:v>
                </c:pt>
                <c:pt idx="5">
                  <c:v>73</c:v>
                </c:pt>
                <c:pt idx="6">
                  <c:v>79</c:v>
                </c:pt>
                <c:pt idx="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C-4DA1-80F5-46C808BC71A2}"/>
            </c:ext>
          </c:extLst>
        </c:ser>
        <c:ser>
          <c:idx val="2"/>
          <c:order val="2"/>
          <c:tx>
            <c:strRef>
              <c:f>'Figure 1'!$D$2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1'!$A$3:$A$10</c:f>
              <c:numCache>
                <c:formatCode>mm/dd/yy</c:formatCode>
                <c:ptCount val="8"/>
                <c:pt idx="0">
                  <c:v>44822</c:v>
                </c:pt>
                <c:pt idx="1">
                  <c:v>44829</c:v>
                </c:pt>
                <c:pt idx="2">
                  <c:v>44836</c:v>
                </c:pt>
                <c:pt idx="3">
                  <c:v>44843</c:v>
                </c:pt>
                <c:pt idx="4">
                  <c:v>44850</c:v>
                </c:pt>
                <c:pt idx="5">
                  <c:v>44857</c:v>
                </c:pt>
                <c:pt idx="6">
                  <c:v>44864</c:v>
                </c:pt>
                <c:pt idx="7">
                  <c:v>44871</c:v>
                </c:pt>
              </c:numCache>
            </c:numRef>
          </c:cat>
          <c:val>
            <c:numRef>
              <c:f>'Figure 1'!$D$3:$D$10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22</c:v>
                </c:pt>
                <c:pt idx="3">
                  <c:v>44</c:v>
                </c:pt>
                <c:pt idx="4">
                  <c:v>63</c:v>
                </c:pt>
                <c:pt idx="5">
                  <c:v>80</c:v>
                </c:pt>
                <c:pt idx="6">
                  <c:v>88</c:v>
                </c:pt>
                <c:pt idx="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9C-4DA1-80F5-46C808BC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Week ending</a:t>
                </a:r>
              </a:p>
            </c:rich>
          </c:tx>
          <c:layout>
            <c:manualLayout>
              <c:xMode val="edge"/>
              <c:yMode val="edge"/>
              <c:x val="0.46324668551046505"/>
              <c:y val="0.8574782318876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/d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day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Percent harvested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789208752842167E-2"/>
              <c:y val="0.10664476292981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40433407362539"/>
          <c:y val="0.11224516148324545"/>
          <c:w val="0.49257773066828187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oil export prices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8103506292482673E-3"/>
          <c:y val="9.688111902678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331444734445E-2"/>
          <c:y val="0.16546394935927128"/>
          <c:w val="0.88460999233779336"/>
          <c:h val="0.5736897226082033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Argentina, Up River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2'!$A$2:$A$26</c:f>
              <c:strCache>
                <c:ptCount val="25"/>
                <c:pt idx="0">
                  <c:v>Oct. 2020</c:v>
                </c:pt>
                <c:pt idx="1">
                  <c:v>Nov. 2020</c:v>
                </c:pt>
                <c:pt idx="2">
                  <c:v>Dec. 2020</c:v>
                </c:pt>
                <c:pt idx="3">
                  <c:v>Jan. 2021</c:v>
                </c:pt>
                <c:pt idx="4">
                  <c:v>Feb. 2021</c:v>
                </c:pt>
                <c:pt idx="5">
                  <c:v>Mar. 2021</c:v>
                </c:pt>
                <c:pt idx="6">
                  <c:v>Apr. 2021</c:v>
                </c:pt>
                <c:pt idx="7">
                  <c:v>May. 2021</c:v>
                </c:pt>
                <c:pt idx="8">
                  <c:v>Jun. 2021</c:v>
                </c:pt>
                <c:pt idx="9">
                  <c:v>Jul. 2021</c:v>
                </c:pt>
                <c:pt idx="10">
                  <c:v>Aug. 2021</c:v>
                </c:pt>
                <c:pt idx="11">
                  <c:v>Sep. 2021</c:v>
                </c:pt>
                <c:pt idx="12">
                  <c:v>Oct. 2021</c:v>
                </c:pt>
                <c:pt idx="13">
                  <c:v>Nov. 2021</c:v>
                </c:pt>
                <c:pt idx="14">
                  <c:v>Dec. 2021</c:v>
                </c:pt>
                <c:pt idx="15">
                  <c:v>Jan. 2022</c:v>
                </c:pt>
                <c:pt idx="16">
                  <c:v>Feb. 2022</c:v>
                </c:pt>
                <c:pt idx="17">
                  <c:v>Mar. 2022</c:v>
                </c:pt>
                <c:pt idx="18">
                  <c:v>Apr. 2022</c:v>
                </c:pt>
                <c:pt idx="19">
                  <c:v>May. 2022</c:v>
                </c:pt>
                <c:pt idx="20">
                  <c:v>Jun. 2022</c:v>
                </c:pt>
                <c:pt idx="21">
                  <c:v>Jul. 2022</c:v>
                </c:pt>
                <c:pt idx="22">
                  <c:v>Aug. 2022</c:v>
                </c:pt>
                <c:pt idx="23">
                  <c:v>Sep. 2022</c:v>
                </c:pt>
                <c:pt idx="24">
                  <c:v>Oct. 2022</c:v>
                </c:pt>
              </c:strCache>
            </c:strRef>
          </c:cat>
          <c:val>
            <c:numRef>
              <c:f>'Figure 2'!$B$2:$B$26</c:f>
              <c:numCache>
                <c:formatCode>#,##0</c:formatCode>
                <c:ptCount val="25"/>
                <c:pt idx="0">
                  <c:v>821.14</c:v>
                </c:pt>
                <c:pt idx="1">
                  <c:v>943.62</c:v>
                </c:pt>
                <c:pt idx="2">
                  <c:v>1021.04</c:v>
                </c:pt>
                <c:pt idx="3">
                  <c:v>1057.33</c:v>
                </c:pt>
                <c:pt idx="4">
                  <c:v>1077.8499999999999</c:v>
                </c:pt>
                <c:pt idx="5">
                  <c:v>1209.6099999999999</c:v>
                </c:pt>
                <c:pt idx="6">
                  <c:v>1239.95</c:v>
                </c:pt>
                <c:pt idx="7">
                  <c:v>1348.9</c:v>
                </c:pt>
                <c:pt idx="8">
                  <c:v>1190.8599999999999</c:v>
                </c:pt>
                <c:pt idx="9">
                  <c:v>1244.32</c:v>
                </c:pt>
                <c:pt idx="10">
                  <c:v>1301.3599999999999</c:v>
                </c:pt>
                <c:pt idx="11">
                  <c:v>1306.5</c:v>
                </c:pt>
                <c:pt idx="12">
                  <c:v>1397.38</c:v>
                </c:pt>
                <c:pt idx="13">
                  <c:v>1391.73</c:v>
                </c:pt>
                <c:pt idx="14">
                  <c:v>1351</c:v>
                </c:pt>
                <c:pt idx="15">
                  <c:v>1372.43</c:v>
                </c:pt>
                <c:pt idx="16">
                  <c:v>1531.9</c:v>
                </c:pt>
                <c:pt idx="17">
                  <c:v>1759.09</c:v>
                </c:pt>
                <c:pt idx="18">
                  <c:v>1834.9</c:v>
                </c:pt>
                <c:pt idx="19">
                  <c:v>1810.14</c:v>
                </c:pt>
                <c:pt idx="20">
                  <c:v>1596.41</c:v>
                </c:pt>
                <c:pt idx="21">
                  <c:v>1318.48</c:v>
                </c:pt>
                <c:pt idx="22">
                  <c:v>1370.26</c:v>
                </c:pt>
                <c:pt idx="23">
                  <c:v>1200.68</c:v>
                </c:pt>
                <c:pt idx="24">
                  <c:v>1291.9000000000001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3-49B2-A079-D53898D5FE23}"/>
            </c:ext>
          </c:extLst>
        </c:ser>
        <c:ser>
          <c:idx val="2"/>
          <c:order val="1"/>
          <c:tx>
            <c:strRef>
              <c:f>'Figure 2'!$D$1</c:f>
              <c:strCache>
                <c:ptCount val="1"/>
                <c:pt idx="0">
                  <c:v>United States, Gulf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2'!$A$2:$A$26</c:f>
              <c:strCache>
                <c:ptCount val="25"/>
                <c:pt idx="0">
                  <c:v>Oct. 2020</c:v>
                </c:pt>
                <c:pt idx="1">
                  <c:v>Nov. 2020</c:v>
                </c:pt>
                <c:pt idx="2">
                  <c:v>Dec. 2020</c:v>
                </c:pt>
                <c:pt idx="3">
                  <c:v>Jan. 2021</c:v>
                </c:pt>
                <c:pt idx="4">
                  <c:v>Feb. 2021</c:v>
                </c:pt>
                <c:pt idx="5">
                  <c:v>Mar. 2021</c:v>
                </c:pt>
                <c:pt idx="6">
                  <c:v>Apr. 2021</c:v>
                </c:pt>
                <c:pt idx="7">
                  <c:v>May. 2021</c:v>
                </c:pt>
                <c:pt idx="8">
                  <c:v>Jun. 2021</c:v>
                </c:pt>
                <c:pt idx="9">
                  <c:v>Jul. 2021</c:v>
                </c:pt>
                <c:pt idx="10">
                  <c:v>Aug. 2021</c:v>
                </c:pt>
                <c:pt idx="11">
                  <c:v>Sep. 2021</c:v>
                </c:pt>
                <c:pt idx="12">
                  <c:v>Oct. 2021</c:v>
                </c:pt>
                <c:pt idx="13">
                  <c:v>Nov. 2021</c:v>
                </c:pt>
                <c:pt idx="14">
                  <c:v>Dec. 2021</c:v>
                </c:pt>
                <c:pt idx="15">
                  <c:v>Jan. 2022</c:v>
                </c:pt>
                <c:pt idx="16">
                  <c:v>Feb. 2022</c:v>
                </c:pt>
                <c:pt idx="17">
                  <c:v>Mar. 2022</c:v>
                </c:pt>
                <c:pt idx="18">
                  <c:v>Apr. 2022</c:v>
                </c:pt>
                <c:pt idx="19">
                  <c:v>May. 2022</c:v>
                </c:pt>
                <c:pt idx="20">
                  <c:v>Jun. 2022</c:v>
                </c:pt>
                <c:pt idx="21">
                  <c:v>Jul. 2022</c:v>
                </c:pt>
                <c:pt idx="22">
                  <c:v>Aug. 2022</c:v>
                </c:pt>
                <c:pt idx="23">
                  <c:v>Sep. 2022</c:v>
                </c:pt>
                <c:pt idx="24">
                  <c:v>Oct. 2022</c:v>
                </c:pt>
              </c:strCache>
            </c:strRef>
          </c:cat>
          <c:val>
            <c:numRef>
              <c:f>'Figure 2'!$D$2:$D$26</c:f>
              <c:numCache>
                <c:formatCode>#,##0</c:formatCode>
                <c:ptCount val="25"/>
                <c:pt idx="0">
                  <c:v>819.5</c:v>
                </c:pt>
                <c:pt idx="1">
                  <c:v>915.19</c:v>
                </c:pt>
                <c:pt idx="2">
                  <c:v>968.22</c:v>
                </c:pt>
                <c:pt idx="3">
                  <c:v>1049.95</c:v>
                </c:pt>
                <c:pt idx="4">
                  <c:v>1118.25</c:v>
                </c:pt>
                <c:pt idx="5">
                  <c:v>1295.0899999999999</c:v>
                </c:pt>
                <c:pt idx="6">
                  <c:v>1444.95</c:v>
                </c:pt>
                <c:pt idx="7">
                  <c:v>1650.71</c:v>
                </c:pt>
                <c:pt idx="8">
                  <c:v>1607.59</c:v>
                </c:pt>
                <c:pt idx="9">
                  <c:v>1553.77</c:v>
                </c:pt>
                <c:pt idx="10">
                  <c:v>1478.18</c:v>
                </c:pt>
                <c:pt idx="11">
                  <c:v>1383.55</c:v>
                </c:pt>
                <c:pt idx="12">
                  <c:v>1464.24</c:v>
                </c:pt>
                <c:pt idx="13">
                  <c:v>1421.95</c:v>
                </c:pt>
                <c:pt idx="14">
                  <c:v>1342.74</c:v>
                </c:pt>
                <c:pt idx="15">
                  <c:v>1457.95</c:v>
                </c:pt>
                <c:pt idx="16">
                  <c:v>1583.85</c:v>
                </c:pt>
                <c:pt idx="17">
                  <c:v>1759.96</c:v>
                </c:pt>
                <c:pt idx="18">
                  <c:v>1875.71</c:v>
                </c:pt>
                <c:pt idx="19">
                  <c:v>1943.23</c:v>
                </c:pt>
                <c:pt idx="20">
                  <c:v>1849.91</c:v>
                </c:pt>
                <c:pt idx="21">
                  <c:v>1561.43</c:v>
                </c:pt>
                <c:pt idx="22">
                  <c:v>1689.17</c:v>
                </c:pt>
                <c:pt idx="23">
                  <c:v>1668.41</c:v>
                </c:pt>
                <c:pt idx="24">
                  <c:v>1684.57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3-49B2-A079-D53898D5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751648"/>
        <c:axId val="1821751232"/>
      </c:lineChart>
      <c:catAx>
        <c:axId val="182175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552500236186931"/>
              <c:y val="0.86980877777044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1"/>
      </c:catAx>
      <c:valAx>
        <c:axId val="1821751232"/>
        <c:scaling>
          <c:orientation val="minMax"/>
          <c:min val="5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metric ton</a:t>
                </a:r>
              </a:p>
            </c:rich>
          </c:tx>
          <c:layout>
            <c:manualLayout>
              <c:xMode val="edge"/>
              <c:yMode val="edge"/>
              <c:x val="0"/>
              <c:y val="9.40170962465311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54140486227095"/>
          <c:y val="9.9554577736606448E-2"/>
          <c:w val="0.43390814311089904"/>
          <c:h val="6.3395604961144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solidFill>
                  <a:schemeClr val="tx1"/>
                </a:solidFill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baseline="0"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100" b="1" i="0" baseline="0">
                <a:effectLst/>
              </a:rPr>
              <a:t>Australian rapeseed production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6.7196668559530567E-3"/>
          <c:y val="2.3916434493416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92379359735061E-2"/>
          <c:y val="0.21096312672806941"/>
          <c:w val="0.83436990530368726"/>
          <c:h val="0.55225131955414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 Oct.*</c:v>
                </c:pt>
                <c:pt idx="10">
                  <c:v>2022/23 Nov.*</c:v>
                </c:pt>
              </c:strCache>
            </c:strRef>
          </c:cat>
          <c:val>
            <c:numRef>
              <c:f>'Figure 3'!$B$2:$B$12</c:f>
              <c:numCache>
                <c:formatCode>_(* #,##0_);_(* \(#,##0\);_(* "-"??_);_(@_)</c:formatCode>
                <c:ptCount val="11"/>
                <c:pt idx="0">
                  <c:v>2721</c:v>
                </c:pt>
                <c:pt idx="1">
                  <c:v>2897</c:v>
                </c:pt>
                <c:pt idx="2">
                  <c:v>2091</c:v>
                </c:pt>
                <c:pt idx="3">
                  <c:v>2681</c:v>
                </c:pt>
                <c:pt idx="4">
                  <c:v>3171</c:v>
                </c:pt>
                <c:pt idx="5">
                  <c:v>2120</c:v>
                </c:pt>
                <c:pt idx="6">
                  <c:v>2034</c:v>
                </c:pt>
                <c:pt idx="7">
                  <c:v>2614</c:v>
                </c:pt>
                <c:pt idx="8">
                  <c:v>3215</c:v>
                </c:pt>
                <c:pt idx="9">
                  <c:v>3600</c:v>
                </c:pt>
                <c:pt idx="10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9-42F5-AFD3-7F3C0E68D1BE}"/>
            </c:ext>
          </c:extLst>
        </c:ser>
        <c:ser>
          <c:idx val="1"/>
          <c:order val="1"/>
          <c:tx>
            <c:strRef>
              <c:f>'Figure 3'!$D$1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3'!$A$2:$A$12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 Oct.*</c:v>
                </c:pt>
                <c:pt idx="10">
                  <c:v>2022/23 Nov.*</c:v>
                </c:pt>
              </c:strCache>
            </c:strRef>
          </c:cat>
          <c:val>
            <c:numRef>
              <c:f>'Figure 3'!$D$2:$D$12</c:f>
              <c:numCache>
                <c:formatCode>_(* #,##0_);_(* \(#,##0\);_(* "-"_);_(@_)</c:formatCode>
                <c:ptCount val="11"/>
                <c:pt idx="0">
                  <c:v>3832</c:v>
                </c:pt>
                <c:pt idx="1">
                  <c:v>3540</c:v>
                </c:pt>
                <c:pt idx="2">
                  <c:v>2775</c:v>
                </c:pt>
                <c:pt idx="3">
                  <c:v>4313</c:v>
                </c:pt>
                <c:pt idx="4">
                  <c:v>3893</c:v>
                </c:pt>
                <c:pt idx="5">
                  <c:v>2366</c:v>
                </c:pt>
                <c:pt idx="6">
                  <c:v>2299</c:v>
                </c:pt>
                <c:pt idx="7">
                  <c:v>4756</c:v>
                </c:pt>
                <c:pt idx="8">
                  <c:v>6762</c:v>
                </c:pt>
                <c:pt idx="9">
                  <c:v>6700</c:v>
                </c:pt>
                <c:pt idx="10">
                  <c:v>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9-42F5-AFD3-7F3C0E68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3'!$C$1</c:f>
              <c:strCache>
                <c:ptCount val="1"/>
                <c:pt idx="0">
                  <c:v>Yield</c:v>
                </c:pt>
              </c:strCache>
            </c:strRef>
          </c:tx>
          <c:spPr>
            <a:ln w="412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3'!$C$2:$C$12</c:f>
              <c:numCache>
                <c:formatCode>#,##0.00_);\(#,##0.00\)</c:formatCode>
                <c:ptCount val="11"/>
                <c:pt idx="0">
                  <c:v>1.408305769937523</c:v>
                </c:pt>
                <c:pt idx="1">
                  <c:v>1.2219537452537108</c:v>
                </c:pt>
                <c:pt idx="2">
                  <c:v>1.327116212338594</c:v>
                </c:pt>
                <c:pt idx="3">
                  <c:v>1.608728086534875</c:v>
                </c:pt>
                <c:pt idx="4">
                  <c:v>1.2276884263639229</c:v>
                </c:pt>
                <c:pt idx="5">
                  <c:v>1.1160377358490565</c:v>
                </c:pt>
                <c:pt idx="6">
                  <c:v>1.1302851524090463</c:v>
                </c:pt>
                <c:pt idx="7">
                  <c:v>1.819433817903596</c:v>
                </c:pt>
                <c:pt idx="8">
                  <c:v>2.1032659409020216</c:v>
                </c:pt>
                <c:pt idx="9">
                  <c:v>1.8611111111111112</c:v>
                </c:pt>
                <c:pt idx="10">
                  <c:v>2.0277777777777777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9-42F5-AFD3-7F3C0E68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26671"/>
        <c:axId val="548629999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Marketing year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43592253268171122"/>
              <c:y val="0.86279661611182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</a:p>
              <a:p>
                <a:pPr algn="l">
                  <a:defRPr/>
                </a:pPr>
                <a:r>
                  <a:rPr lang="en-US" sz="900" baseline="0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050822650575833E-2"/>
              <c:y val="0.11252184362234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548629999"/>
        <c:scaling>
          <c:orientation val="minMax"/>
          <c:max val="2.25"/>
          <c:min val="0"/>
        </c:scaling>
        <c:delete val="0"/>
        <c:axPos val="r"/>
        <c:numFmt formatCode="#,##0.0_);\(#,##0.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626671"/>
        <c:crosses val="max"/>
        <c:crossBetween val="between"/>
      </c:valAx>
      <c:catAx>
        <c:axId val="548626671"/>
        <c:scaling>
          <c:orientation val="minMax"/>
        </c:scaling>
        <c:delete val="1"/>
        <c:axPos val="b"/>
        <c:majorTickMark val="out"/>
        <c:minorTickMark val="none"/>
        <c:tickLblPos val="nextTo"/>
        <c:crossAx val="548629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510338464932085"/>
          <c:y val="0.12108825579620777"/>
          <c:w val="0.5045165747453374"/>
          <c:h val="0.11608457769417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Palm oil stocks and prices in Malaysia 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4357373210094292E-2"/>
          <c:y val="2.65209031194044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474392623998E-2"/>
          <c:y val="0.21296960245308919"/>
          <c:w val="0.83153298989671698"/>
          <c:h val="0.483165570345861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4'!$C$1</c:f>
              <c:strCache>
                <c:ptCount val="1"/>
                <c:pt idx="0">
                  <c:v> Palm oil stocks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 w="19050">
              <a:noFill/>
              <a:prstDash val="dash"/>
            </a:ln>
            <a:effectLst/>
          </c:spPr>
          <c:invertIfNegative val="0"/>
          <c:cat>
            <c:strRef>
              <c:f>'Figure 4'!$A$2:$A$14</c:f>
              <c:strCache>
                <c:ptCount val="13"/>
                <c:pt idx="0">
                  <c:v>Sep. 2021</c:v>
                </c:pt>
                <c:pt idx="1">
                  <c:v>Oct. 2021</c:v>
                </c:pt>
                <c:pt idx="2">
                  <c:v>Nov. 2021</c:v>
                </c:pt>
                <c:pt idx="3">
                  <c:v>Dec. 2021</c:v>
                </c:pt>
                <c:pt idx="4">
                  <c:v>Jan. 2022</c:v>
                </c:pt>
                <c:pt idx="5">
                  <c:v>Feb. 2022</c:v>
                </c:pt>
                <c:pt idx="6">
                  <c:v>Mar. 2022</c:v>
                </c:pt>
                <c:pt idx="7">
                  <c:v>Apr. 2022</c:v>
                </c:pt>
                <c:pt idx="8">
                  <c:v>May. 2022</c:v>
                </c:pt>
                <c:pt idx="9">
                  <c:v>Jun. 2022</c:v>
                </c:pt>
                <c:pt idx="10">
                  <c:v>Jul. 2022</c:v>
                </c:pt>
                <c:pt idx="11">
                  <c:v>Aug. 2022</c:v>
                </c:pt>
                <c:pt idx="12">
                  <c:v>Sep. 2022</c:v>
                </c:pt>
              </c:strCache>
            </c:strRef>
          </c:cat>
          <c:val>
            <c:numRef>
              <c:f>'Figure 4'!$C$2:$C$14</c:f>
              <c:numCache>
                <c:formatCode>#,##0</c:formatCode>
                <c:ptCount val="13"/>
                <c:pt idx="0">
                  <c:v>1756.404</c:v>
                </c:pt>
                <c:pt idx="1">
                  <c:v>1834.568</c:v>
                </c:pt>
                <c:pt idx="2">
                  <c:v>1817.0609999999999</c:v>
                </c:pt>
                <c:pt idx="3">
                  <c:v>1614.5940000000001</c:v>
                </c:pt>
                <c:pt idx="4">
                  <c:v>1551.1510000000001</c:v>
                </c:pt>
                <c:pt idx="5">
                  <c:v>1518.2380000000001</c:v>
                </c:pt>
                <c:pt idx="6">
                  <c:v>1472.8430000000001</c:v>
                </c:pt>
                <c:pt idx="7">
                  <c:v>1642.8130000000001</c:v>
                </c:pt>
                <c:pt idx="8">
                  <c:v>1521.826</c:v>
                </c:pt>
                <c:pt idx="9">
                  <c:v>1645.83</c:v>
                </c:pt>
                <c:pt idx="10">
                  <c:v>1772.8040000000001</c:v>
                </c:pt>
                <c:pt idx="11">
                  <c:v>2094.6669999999999</c:v>
                </c:pt>
                <c:pt idx="12">
                  <c:v>2315.4639999999999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3-4355-B6D6-82D5EF0B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393776"/>
        <c:axId val="1886397520"/>
      </c:barChart>
      <c:lineChart>
        <c:grouping val="standar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RBD Palm oil price, FOB Malaysia </c:v>
                </c:pt>
              </c:strCache>
            </c:strRef>
          </c:tx>
          <c:spPr>
            <a:ln w="38100" cap="rnd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4'!$A$2:$A$14</c:f>
              <c:strCache>
                <c:ptCount val="13"/>
                <c:pt idx="0">
                  <c:v>Sep. 2021</c:v>
                </c:pt>
                <c:pt idx="1">
                  <c:v>Oct. 2021</c:v>
                </c:pt>
                <c:pt idx="2">
                  <c:v>Nov. 2021</c:v>
                </c:pt>
                <c:pt idx="3">
                  <c:v>Dec. 2021</c:v>
                </c:pt>
                <c:pt idx="4">
                  <c:v>Jan. 2022</c:v>
                </c:pt>
                <c:pt idx="5">
                  <c:v>Feb. 2022</c:v>
                </c:pt>
                <c:pt idx="6">
                  <c:v>Mar. 2022</c:v>
                </c:pt>
                <c:pt idx="7">
                  <c:v>Apr. 2022</c:v>
                </c:pt>
                <c:pt idx="8">
                  <c:v>May. 2022</c:v>
                </c:pt>
                <c:pt idx="9">
                  <c:v>Jun. 2022</c:v>
                </c:pt>
                <c:pt idx="10">
                  <c:v>Jul. 2022</c:v>
                </c:pt>
                <c:pt idx="11">
                  <c:v>Aug. 2022</c:v>
                </c:pt>
                <c:pt idx="12">
                  <c:v>Sep. 2022</c:v>
                </c:pt>
              </c:strCache>
            </c:strRef>
          </c:cat>
          <c:val>
            <c:numRef>
              <c:f>'Figure 4'!$B$2:$B$14</c:f>
              <c:numCache>
                <c:formatCode>#,##0</c:formatCode>
                <c:ptCount val="13"/>
                <c:pt idx="0">
                  <c:v>1306.5</c:v>
                </c:pt>
                <c:pt idx="1">
                  <c:v>1397.38</c:v>
                </c:pt>
                <c:pt idx="2">
                  <c:v>1391.73</c:v>
                </c:pt>
                <c:pt idx="3">
                  <c:v>1351</c:v>
                </c:pt>
                <c:pt idx="4">
                  <c:v>1372.43</c:v>
                </c:pt>
                <c:pt idx="5">
                  <c:v>1531.9</c:v>
                </c:pt>
                <c:pt idx="6">
                  <c:v>1759.09</c:v>
                </c:pt>
                <c:pt idx="7">
                  <c:v>1834.9</c:v>
                </c:pt>
                <c:pt idx="8">
                  <c:v>1810.14</c:v>
                </c:pt>
                <c:pt idx="9">
                  <c:v>1596.41</c:v>
                </c:pt>
                <c:pt idx="10">
                  <c:v>1318.48</c:v>
                </c:pt>
                <c:pt idx="11">
                  <c:v>1370.26</c:v>
                </c:pt>
                <c:pt idx="12">
                  <c:v>1200.68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3-4355-B6D6-82D5EF0B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751648"/>
        <c:axId val="1821751232"/>
      </c:lineChart>
      <c:catAx>
        <c:axId val="182175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849316912309036"/>
              <c:y val="0.821478565179352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1"/>
      </c:catAx>
      <c:valAx>
        <c:axId val="1821751232"/>
        <c:scaling>
          <c:orientation val="minMax"/>
          <c:min val="5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ton</a:t>
                </a:r>
              </a:p>
            </c:rich>
          </c:tx>
          <c:layout>
            <c:manualLayout>
              <c:xMode val="edge"/>
              <c:yMode val="edge"/>
              <c:x val="0"/>
              <c:y val="0.13708234387368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  <c:majorUnit val="200"/>
      </c:valAx>
      <c:valAx>
        <c:axId val="188639752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6393776"/>
        <c:crosses val="max"/>
        <c:crossBetween val="between"/>
      </c:valAx>
      <c:catAx>
        <c:axId val="188639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639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6139040312272"/>
          <c:y val="9.2520986959963317E-2"/>
          <c:w val="0.61299424900202881"/>
          <c:h val="7.970852601758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508633</xdr:colOff>
      <xdr:row>0</xdr:row>
      <xdr:rowOff>103504</xdr:rowOff>
    </xdr:from>
    <xdr:to>
      <xdr:col>13</xdr:col>
      <xdr:colOff>556258</xdr:colOff>
      <xdr:row>23</xdr:row>
      <xdr:rowOff>52069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64C13-1FAB-4433-9036-675F7B779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0.89677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98826"/>
          <a:ext cx="5943600" cy="379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National Agricultural Statistics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Crop Progress,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November 7, 2022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1</xdr:row>
      <xdr:rowOff>42332</xdr:rowOff>
    </xdr:from>
    <xdr:to>
      <xdr:col>14</xdr:col>
      <xdr:colOff>542290</xdr:colOff>
      <xdr:row>22</xdr:row>
      <xdr:rowOff>150282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9A0C37A-E64D-42A5-B27A-BA055237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0.00254</cdr:x>
      <cdr:y>0.91652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5110" y="3513666"/>
          <a:ext cx="5897460" cy="294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data International Grains Council, November 2022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38099</xdr:rowOff>
    </xdr:from>
    <xdr:to>
      <xdr:col>14</xdr:col>
      <xdr:colOff>295275</xdr:colOff>
      <xdr:row>21</xdr:row>
      <xdr:rowOff>1904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E999A1-B212-4235-A1EC-E16AE45E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0.86957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62300"/>
          <a:ext cx="6709410" cy="47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Research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Production,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Supply, and Distribution.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0.76763</cdr:x>
      <cdr:y>0.13096</cdr:y>
    </cdr:from>
    <cdr:to>
      <cdr:x>1</cdr:x>
      <cdr:y>0.19345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CDE19E9-2814-4FAA-BB29-D9B4C68256A8}"/>
            </a:ext>
          </a:extLst>
        </cdr:cNvPr>
        <cdr:cNvSpPr/>
      </cdr:nvSpPr>
      <cdr:spPr>
        <a:xfrm xmlns:a="http://schemas.openxmlformats.org/drawingml/2006/main">
          <a:off x="4562475" y="502944"/>
          <a:ext cx="1381125" cy="24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Metric tons</a:t>
          </a:r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per hectare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482810</xdr:colOff>
      <xdr:row>1</xdr:row>
      <xdr:rowOff>1</xdr:rowOff>
    </xdr:from>
    <xdr:to>
      <xdr:col>13</xdr:col>
      <xdr:colOff>288077</xdr:colOff>
      <xdr:row>22</xdr:row>
      <xdr:rowOff>62231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3944AA-CD35-4FA8-87A4-248EAE61B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0.00254</cdr:x>
      <cdr:y>0.85428</cdr:y>
    </cdr:from>
    <cdr:to>
      <cdr:x>0.99393</cdr:x>
      <cdr:y>0.9939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5097" y="3280832"/>
          <a:ext cx="5892425" cy="536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RBD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Palm Oil: Refined Bleached Deodorized palm oil. FOB: Free On Board, Malaysia.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data from Malaysian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Palm Oil Board (MPOB) and USDA, Foreign Agricultrual Service</a:t>
          </a:r>
          <a:r>
            <a:rPr lang="en-US" sz="90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Oilseeds: World Markets and Trade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/>
        </a:p>
      </cdr:txBody>
    </cdr:sp>
  </cdr:relSizeAnchor>
  <cdr:relSizeAnchor xmlns:cdr="http://schemas.openxmlformats.org/drawingml/2006/chartDrawing">
    <cdr:from>
      <cdr:x>0.80356</cdr:x>
      <cdr:y>0.14431</cdr:y>
    </cdr:from>
    <cdr:to>
      <cdr:x>1</cdr:x>
      <cdr:y>0.19919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0BE6087-3262-4A1E-9312-CD70675CF67B}"/>
            </a:ext>
          </a:extLst>
        </cdr:cNvPr>
        <cdr:cNvSpPr/>
      </cdr:nvSpPr>
      <cdr:spPr bwMode="auto">
        <a:xfrm xmlns:a="http://schemas.openxmlformats.org/drawingml/2006/main">
          <a:off x="4952790" y="601133"/>
          <a:ext cx="1210733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Thousand metric tons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3" customWidth="1"/>
    <col min="2" max="16384" width="9.6640625" style="1"/>
  </cols>
  <sheetData>
    <row r="1" spans="1:3">
      <c r="A1" s="8" t="s">
        <v>0</v>
      </c>
      <c r="B1" s="117"/>
      <c r="C1" s="117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17"/>
    </row>
    <row r="5" spans="1:3">
      <c r="A5" s="11" t="s">
        <v>3</v>
      </c>
      <c r="B5" s="4"/>
      <c r="C5" s="117"/>
    </row>
    <row r="6" spans="1:3">
      <c r="A6" s="11" t="s">
        <v>4</v>
      </c>
      <c r="B6" s="4"/>
      <c r="C6" s="117"/>
    </row>
    <row r="7" spans="1:3">
      <c r="A7" s="11" t="s">
        <v>5</v>
      </c>
      <c r="B7" s="4"/>
      <c r="C7" s="117"/>
    </row>
    <row r="8" spans="1:3">
      <c r="A8" s="11" t="s">
        <v>6</v>
      </c>
      <c r="B8" s="4"/>
      <c r="C8" s="117"/>
    </row>
    <row r="9" spans="1:3">
      <c r="A9" s="11" t="s">
        <v>7</v>
      </c>
      <c r="B9" s="4"/>
      <c r="C9" s="117"/>
    </row>
    <row r="10" spans="1:3">
      <c r="A10" s="11" t="s">
        <v>8</v>
      </c>
      <c r="B10" s="4"/>
      <c r="C10" s="117"/>
    </row>
    <row r="11" spans="1:3">
      <c r="A11" s="11" t="s">
        <v>9</v>
      </c>
      <c r="B11" s="4"/>
      <c r="C11" s="117"/>
    </row>
    <row r="12" spans="1:3">
      <c r="A12" s="11" t="s">
        <v>10</v>
      </c>
      <c r="B12" s="4"/>
      <c r="C12" s="117"/>
    </row>
    <row r="13" spans="1:3">
      <c r="A13" s="12" t="s">
        <v>11</v>
      </c>
      <c r="B13" s="4"/>
      <c r="C13" s="117"/>
    </row>
    <row r="14" spans="1:3" ht="13.2">
      <c r="A14" s="117"/>
      <c r="B14" s="117"/>
      <c r="C14" s="117"/>
    </row>
    <row r="15" spans="1:3">
      <c r="A15" s="8" t="s">
        <v>12</v>
      </c>
      <c r="B15" s="118"/>
      <c r="C15" s="117"/>
    </row>
    <row r="16" spans="1:3">
      <c r="A16" s="10">
        <v>44879</v>
      </c>
      <c r="B16" s="117"/>
      <c r="C16" s="117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0"/>
  <sheetViews>
    <sheetView showGridLines="0" zoomScale="70" zoomScaleNormal="70" workbookViewId="0">
      <selection activeCell="K8" sqref="K8"/>
    </sheetView>
  </sheetViews>
  <sheetFormatPr defaultColWidth="9.109375" defaultRowHeight="13.2"/>
  <cols>
    <col min="1" max="1" width="21.6640625" style="17" customWidth="1"/>
    <col min="2" max="2" width="14.109375" style="17" bestFit="1" customWidth="1"/>
    <col min="3" max="3" width="9.5546875" style="17" customWidth="1"/>
    <col min="4" max="4" width="26.6640625" style="17" customWidth="1"/>
    <col min="5" max="5" width="9.6640625" style="17" customWidth="1"/>
    <col min="6" max="6" width="10.6640625" style="17" customWidth="1"/>
    <col min="7" max="7" width="8.6640625" style="17" bestFit="1" customWidth="1"/>
    <col min="8" max="8" width="9.6640625" style="17" customWidth="1"/>
    <col min="9" max="9" width="1.6640625" style="17" customWidth="1"/>
    <col min="10" max="10" width="9.6640625" style="17" customWidth="1"/>
    <col min="11" max="12" width="10.6640625" style="17" customWidth="1"/>
    <col min="13" max="13" width="10.33203125" style="17" customWidth="1"/>
    <col min="14" max="14" width="9.6640625" style="17" customWidth="1"/>
    <col min="15" max="16" width="9.109375" style="17"/>
    <col min="17" max="17" width="15.44140625" style="17" bestFit="1" customWidth="1"/>
    <col min="18" max="18" width="10.109375" style="17" bestFit="1" customWidth="1"/>
    <col min="19" max="16384" width="9.109375" style="17"/>
  </cols>
  <sheetData>
    <row r="1" spans="1:23" ht="13.8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3" ht="13.8">
      <c r="A2" s="18"/>
      <c r="B2" s="19" t="s">
        <v>13</v>
      </c>
      <c r="C2" s="139"/>
      <c r="D2" s="20" t="s">
        <v>14</v>
      </c>
      <c r="E2" s="21"/>
      <c r="F2" s="139" t="s">
        <v>15</v>
      </c>
      <c r="G2" s="139"/>
      <c r="H2" s="139"/>
      <c r="I2" s="22"/>
      <c r="J2" s="21"/>
      <c r="K2" s="139"/>
      <c r="L2" s="23" t="s">
        <v>16</v>
      </c>
      <c r="M2" s="139"/>
      <c r="N2" s="18"/>
    </row>
    <row r="3" spans="1:23" ht="13.8">
      <c r="A3" s="18" t="s">
        <v>17</v>
      </c>
      <c r="B3" s="20" t="s">
        <v>18</v>
      </c>
      <c r="C3" s="18" t="s">
        <v>19</v>
      </c>
      <c r="D3" s="20"/>
      <c r="E3" s="24" t="s">
        <v>20</v>
      </c>
      <c r="F3" s="24"/>
      <c r="G3" s="24"/>
      <c r="H3" s="24"/>
      <c r="I3" s="24"/>
      <c r="J3" s="20" t="s">
        <v>21</v>
      </c>
      <c r="K3" s="24" t="s">
        <v>22</v>
      </c>
      <c r="L3" s="24"/>
      <c r="M3" s="24"/>
      <c r="N3" s="24" t="s">
        <v>23</v>
      </c>
    </row>
    <row r="4" spans="1:23" ht="13.8">
      <c r="A4" s="25" t="s">
        <v>24</v>
      </c>
      <c r="B4" s="26"/>
      <c r="C4" s="26"/>
      <c r="D4" s="26"/>
      <c r="E4" s="27" t="s">
        <v>25</v>
      </c>
      <c r="F4" s="27" t="s">
        <v>26</v>
      </c>
      <c r="G4" s="28" t="s">
        <v>27</v>
      </c>
      <c r="H4" s="29" t="s">
        <v>28</v>
      </c>
      <c r="I4" s="28"/>
      <c r="J4" s="28"/>
      <c r="K4" s="28" t="s">
        <v>29</v>
      </c>
      <c r="L4" s="29" t="s">
        <v>30</v>
      </c>
      <c r="M4" s="27" t="s">
        <v>28</v>
      </c>
      <c r="N4" s="28" t="s">
        <v>25</v>
      </c>
      <c r="W4" s="30"/>
    </row>
    <row r="5" spans="1:23" ht="14.4">
      <c r="A5" s="18"/>
      <c r="B5" s="31" t="s">
        <v>31</v>
      </c>
      <c r="C5" s="140"/>
      <c r="D5" s="32" t="s">
        <v>32</v>
      </c>
      <c r="G5" s="31"/>
      <c r="I5" s="31"/>
      <c r="J5" s="31" t="s">
        <v>33</v>
      </c>
      <c r="K5" s="31"/>
      <c r="L5" s="31"/>
      <c r="M5" s="31"/>
      <c r="N5" s="31"/>
      <c r="W5" s="30"/>
    </row>
    <row r="6" spans="1:23" ht="16.5" customHeight="1">
      <c r="A6" s="18" t="s">
        <v>34</v>
      </c>
      <c r="B6" s="33">
        <v>83.353999999999999</v>
      </c>
      <c r="C6" s="33">
        <v>82.602999999999994</v>
      </c>
      <c r="D6" s="33">
        <f>F6/C6</f>
        <v>51.042964541239421</v>
      </c>
      <c r="E6" s="34">
        <v>524.54100000000005</v>
      </c>
      <c r="F6" s="35">
        <v>4216.3019999999997</v>
      </c>
      <c r="G6" s="36">
        <v>19.815142646399998</v>
      </c>
      <c r="H6" s="36">
        <f>SUM(E6:G6)</f>
        <v>4760.6581426463999</v>
      </c>
      <c r="I6" s="18"/>
      <c r="J6" s="35">
        <v>2140.5846999999999</v>
      </c>
      <c r="K6" s="35">
        <f t="shared" ref="K6:K8" si="0">M6-L6-J6</f>
        <v>97.272779870399972</v>
      </c>
      <c r="L6" s="36">
        <v>2265.8216627759998</v>
      </c>
      <c r="M6" s="36">
        <f>H6-N6</f>
        <v>4503.6791426463997</v>
      </c>
      <c r="N6" s="36">
        <v>256.97899999999998</v>
      </c>
    </row>
    <row r="7" spans="1:23" ht="16.5" customHeight="1">
      <c r="A7" s="18" t="s">
        <v>35</v>
      </c>
      <c r="B7" s="33">
        <v>87.194999999999993</v>
      </c>
      <c r="C7" s="33">
        <v>86.311999999999998</v>
      </c>
      <c r="D7" s="33">
        <f>F7/C7</f>
        <v>51.735355454629712</v>
      </c>
      <c r="E7" s="34">
        <f>N6</f>
        <v>256.97899999999998</v>
      </c>
      <c r="F7" s="35">
        <f>F27</f>
        <v>4465.3819999999996</v>
      </c>
      <c r="G7" s="36">
        <f>G27</f>
        <v>15.9101740464</v>
      </c>
      <c r="H7" s="36">
        <f>SUM(E7:G7)</f>
        <v>4738.2711740464001</v>
      </c>
      <c r="I7" s="18"/>
      <c r="J7" s="35">
        <f>J27</f>
        <v>2203.8322700661743</v>
      </c>
      <c r="K7" s="35">
        <f t="shared" si="0"/>
        <v>103.03621654982544</v>
      </c>
      <c r="L7" s="36">
        <f>L27</f>
        <v>2157.6466874304001</v>
      </c>
      <c r="M7" s="36">
        <f>H7-N7</f>
        <v>4464.5151740463998</v>
      </c>
      <c r="N7" s="36">
        <f>N26</f>
        <v>273.75599999999997</v>
      </c>
    </row>
    <row r="8" spans="1:23" ht="16.5" customHeight="1">
      <c r="A8" s="18" t="s">
        <v>36</v>
      </c>
      <c r="B8" s="33">
        <v>87.454999999999998</v>
      </c>
      <c r="C8" s="33">
        <v>86.631</v>
      </c>
      <c r="D8" s="33">
        <f>F8/C8</f>
        <v>50.161304844686086</v>
      </c>
      <c r="E8" s="34">
        <f>N7</f>
        <v>273.75599999999997</v>
      </c>
      <c r="F8" s="35">
        <f>4345.524</f>
        <v>4345.5240000000003</v>
      </c>
      <c r="G8" s="36">
        <v>15</v>
      </c>
      <c r="H8" s="36">
        <f>SUM(E8:G8)</f>
        <v>4634.2800000000007</v>
      </c>
      <c r="I8" s="18"/>
      <c r="J8" s="35">
        <v>2245</v>
      </c>
      <c r="K8" s="35">
        <f t="shared" si="0"/>
        <v>124.28000000000065</v>
      </c>
      <c r="L8" s="36">
        <v>2045</v>
      </c>
      <c r="M8" s="36">
        <f>H8-N8</f>
        <v>4414.2800000000007</v>
      </c>
      <c r="N8" s="36">
        <v>220</v>
      </c>
    </row>
    <row r="9" spans="1:23" ht="16.5" customHeight="1">
      <c r="A9" s="22"/>
      <c r="B9" s="22"/>
      <c r="C9" s="22"/>
      <c r="D9" s="22"/>
      <c r="E9" s="37"/>
      <c r="F9" s="37"/>
      <c r="G9" s="38"/>
      <c r="H9" s="37"/>
      <c r="I9" s="37"/>
      <c r="J9" s="38"/>
      <c r="K9" s="38"/>
      <c r="L9" s="38"/>
      <c r="M9" s="38"/>
      <c r="N9" s="38"/>
    </row>
    <row r="10" spans="1:23" ht="16.5" customHeight="1">
      <c r="A10" s="52" t="s">
        <v>53</v>
      </c>
      <c r="B10" s="119"/>
      <c r="C10" s="119"/>
      <c r="D10" s="119"/>
      <c r="E10" s="42"/>
      <c r="F10" s="43"/>
      <c r="G10" s="7"/>
      <c r="H10" s="14"/>
      <c r="I10" s="119"/>
      <c r="J10" s="14"/>
      <c r="K10" s="41"/>
      <c r="L10" s="7"/>
      <c r="M10" s="7"/>
      <c r="N10" s="14"/>
    </row>
    <row r="11" spans="1:23" ht="16.5" customHeight="1">
      <c r="A11" s="22" t="s">
        <v>37</v>
      </c>
      <c r="B11" s="119"/>
      <c r="C11" s="119"/>
      <c r="D11" s="129"/>
      <c r="E11" s="42"/>
      <c r="F11" s="43"/>
      <c r="G11" s="7">
        <f>(24488.6*36.744)/1000000</f>
        <v>0.89980911839999989</v>
      </c>
      <c r="I11" s="119"/>
      <c r="J11" s="14">
        <f>((4924574*0.907185)*36.744)/1000000</f>
        <v>164.15380766099736</v>
      </c>
      <c r="K11" s="41"/>
      <c r="L11" s="7">
        <f>(2098690.6*36.744)/1000000</f>
        <v>77.11428740640001</v>
      </c>
      <c r="M11" s="7"/>
      <c r="N11" s="14"/>
      <c r="Q11" s="129"/>
    </row>
    <row r="12" spans="1:23" ht="16.5" customHeight="1">
      <c r="A12" s="22" t="s">
        <v>38</v>
      </c>
      <c r="B12" s="119"/>
      <c r="C12" s="119"/>
      <c r="D12" s="129"/>
      <c r="E12" s="42"/>
      <c r="F12" s="43"/>
      <c r="G12" s="7">
        <f>(19229.4*36.744)/1000000</f>
        <v>0.70656507359999998</v>
      </c>
      <c r="I12" s="119"/>
      <c r="J12" s="14">
        <f>((5908157*0.907185)*36.744)/1000000</f>
        <v>196.9401754972055</v>
      </c>
      <c r="K12" s="41"/>
      <c r="L12" s="7">
        <f>(10749625.7*36.744)/1000000</f>
        <v>394.9842467208</v>
      </c>
      <c r="M12" s="7"/>
      <c r="N12" s="14"/>
      <c r="Q12" s="129"/>
    </row>
    <row r="13" spans="1:23" ht="16.5" customHeight="1">
      <c r="A13" s="22" t="s">
        <v>39</v>
      </c>
      <c r="B13" s="119"/>
      <c r="C13" s="119"/>
      <c r="D13" s="129"/>
      <c r="E13" s="42"/>
      <c r="F13" s="43"/>
      <c r="G13" s="7">
        <f>(34894.1*36.744)/1000000</f>
        <v>1.2821488103999998</v>
      </c>
      <c r="I13" s="119"/>
      <c r="J13" s="14">
        <f>((5717943*0.907185)*36.744)/1000000</f>
        <v>190.59965703399854</v>
      </c>
      <c r="K13" s="41"/>
      <c r="L13" s="7">
        <f>(10581460.9*36.744)/1000000</f>
        <v>388.80519930959997</v>
      </c>
      <c r="M13" s="7"/>
      <c r="N13" s="14"/>
      <c r="Q13" s="129"/>
    </row>
    <row r="14" spans="1:23" ht="16.5" customHeight="1">
      <c r="A14" s="22" t="s">
        <v>40</v>
      </c>
      <c r="B14" s="119"/>
      <c r="C14" s="119"/>
      <c r="E14" s="42">
        <f>N6</f>
        <v>256.97899999999998</v>
      </c>
      <c r="F14" s="42">
        <f>4465.382</f>
        <v>4465.3819999999996</v>
      </c>
      <c r="G14" s="7">
        <f>SUM(G11:G13)</f>
        <v>2.8885230023999995</v>
      </c>
      <c r="H14" s="14">
        <f>SUM(E14:G14)</f>
        <v>4725.2495230023997</v>
      </c>
      <c r="I14" s="119"/>
      <c r="J14" s="14">
        <f>SUM(J11:J13)</f>
        <v>551.69364019220143</v>
      </c>
      <c r="K14" s="41">
        <f>M14-L14-J14</f>
        <v>161.1281493733984</v>
      </c>
      <c r="L14" s="7">
        <f>SUM(L11:L13)</f>
        <v>860.90373343679994</v>
      </c>
      <c r="M14" s="7">
        <f>H14-N14</f>
        <v>1573.7255230023998</v>
      </c>
      <c r="N14" s="14">
        <v>3151.5239999999999</v>
      </c>
    </row>
    <row r="15" spans="1:23" ht="16.5" customHeight="1">
      <c r="A15" s="18" t="s">
        <v>41</v>
      </c>
      <c r="B15" s="119"/>
      <c r="C15" s="119"/>
      <c r="D15" s="129"/>
      <c r="E15" s="42"/>
      <c r="F15" s="42"/>
      <c r="G15" s="7">
        <f>(27884.8*36.744)/1000000</f>
        <v>1.0245990912</v>
      </c>
      <c r="H15" s="14"/>
      <c r="I15" s="119"/>
      <c r="J15" s="14">
        <f>((5947222*0.907185)*36.744)/1000000</f>
        <v>198.24235280153209</v>
      </c>
      <c r="K15" s="41"/>
      <c r="L15" s="7">
        <f>(7940701.7*36.744)/1000000</f>
        <v>291.77314326480001</v>
      </c>
      <c r="M15" s="7"/>
      <c r="N15" s="14"/>
      <c r="Q15" s="129"/>
    </row>
    <row r="16" spans="1:23" ht="16.5" customHeight="1">
      <c r="A16" s="18" t="s">
        <v>42</v>
      </c>
      <c r="B16" s="119"/>
      <c r="C16" s="119"/>
      <c r="D16" s="129"/>
      <c r="E16" s="42"/>
      <c r="F16" s="42"/>
      <c r="G16" s="7">
        <f>(23947.4*36.744)/1000000</f>
        <v>0.8799232656</v>
      </c>
      <c r="H16" s="14"/>
      <c r="I16" s="119"/>
      <c r="J16" s="14">
        <f>((5828974*0.907185)*36.744)/1000000</f>
        <v>194.30072060181334</v>
      </c>
      <c r="K16" s="41"/>
      <c r="L16" s="7">
        <f>(6392108.3*36.744)/1000000</f>
        <v>234.87162737520001</v>
      </c>
      <c r="M16" s="7"/>
      <c r="N16" s="14"/>
      <c r="Q16" s="129"/>
    </row>
    <row r="17" spans="1:17" ht="16.5" customHeight="1">
      <c r="A17" s="18" t="s">
        <v>43</v>
      </c>
      <c r="B17" s="119"/>
      <c r="C17" s="119"/>
      <c r="D17" s="129"/>
      <c r="E17" s="42"/>
      <c r="F17" s="42"/>
      <c r="G17" s="7">
        <f>(47248.7*36.744)/1000000</f>
        <v>1.7361062327999999</v>
      </c>
      <c r="H17" s="14"/>
      <c r="I17" s="119"/>
      <c r="J17" s="14">
        <f>((5232453*0.907185)*36.744)/1000000</f>
        <v>174.41652483183492</v>
      </c>
      <c r="K17" s="41"/>
      <c r="L17" s="7">
        <f>(3791255.7*36.744)/1000000</f>
        <v>139.3058994408</v>
      </c>
      <c r="M17" s="7"/>
      <c r="N17" s="14"/>
      <c r="Q17" s="129"/>
    </row>
    <row r="18" spans="1:17" ht="16.5" customHeight="1">
      <c r="A18" s="18" t="s">
        <v>44</v>
      </c>
      <c r="B18" s="119"/>
      <c r="C18" s="119"/>
      <c r="E18" s="42">
        <f>N14</f>
        <v>3151.5239999999999</v>
      </c>
      <c r="F18" s="42"/>
      <c r="G18" s="7">
        <f>SUM(G15:G17)</f>
        <v>3.6406285895999999</v>
      </c>
      <c r="H18" s="14">
        <f>E18+F18+G18</f>
        <v>3155.1646285895999</v>
      </c>
      <c r="I18" s="119"/>
      <c r="J18" s="14">
        <f>SUM(J15:J17)</f>
        <v>566.95959823518035</v>
      </c>
      <c r="K18" s="41">
        <f>M18-L18-J18</f>
        <v>-9.0486397263805429</v>
      </c>
      <c r="L18" s="7">
        <f>SUM(L15:L17)</f>
        <v>665.95067008080002</v>
      </c>
      <c r="M18" s="7">
        <f>H18-N18</f>
        <v>1223.8616285895998</v>
      </c>
      <c r="N18" s="14">
        <v>1931.3030000000001</v>
      </c>
    </row>
    <row r="19" spans="1:17" ht="16.5" customHeight="1">
      <c r="A19" s="18" t="s">
        <v>45</v>
      </c>
      <c r="B19" s="119"/>
      <c r="C19" s="119"/>
      <c r="D19" s="129"/>
      <c r="E19" s="42"/>
      <c r="F19" s="42"/>
      <c r="G19" s="7">
        <f>(33665.9*36.744)/1000000</f>
        <v>1.2370198296000001</v>
      </c>
      <c r="H19" s="14"/>
      <c r="I19" s="119"/>
      <c r="J19" s="14">
        <f>((5786159*0.907185)*36.744)/1000000</f>
        <v>192.87354227633676</v>
      </c>
      <c r="K19" s="41"/>
      <c r="L19" s="7">
        <f>(3184420.8*36.744)/1000000</f>
        <v>117.00835787519999</v>
      </c>
      <c r="M19" s="7"/>
      <c r="N19" s="14"/>
      <c r="Q19" s="129"/>
    </row>
    <row r="20" spans="1:17" ht="16.5" customHeight="1">
      <c r="A20" s="18" t="s">
        <v>46</v>
      </c>
      <c r="B20" s="119"/>
      <c r="C20" s="119"/>
      <c r="D20" s="129"/>
      <c r="E20" s="42"/>
      <c r="F20" s="42"/>
      <c r="G20" s="7">
        <f>(49190.6*36.744)/1000000</f>
        <v>1.8074594064</v>
      </c>
      <c r="H20" s="14"/>
      <c r="I20" s="119"/>
      <c r="J20" s="14">
        <f>((5426712*0.907185)*36.744)/1000000</f>
        <v>180.89187772985568</v>
      </c>
      <c r="K20" s="41"/>
      <c r="L20" s="7">
        <f>(3657248.5*36.744)/1000000</f>
        <v>134.38193888399999</v>
      </c>
      <c r="M20" s="7"/>
      <c r="N20" s="14"/>
      <c r="Q20" s="129"/>
    </row>
    <row r="21" spans="1:17" ht="16.5" customHeight="1">
      <c r="A21" s="18" t="s">
        <v>47</v>
      </c>
      <c r="B21" s="119"/>
      <c r="C21" s="119"/>
      <c r="D21" s="129"/>
      <c r="E21" s="42"/>
      <c r="F21" s="42"/>
      <c r="G21" s="7">
        <f>(30553.6*36.744)/1000000</f>
        <v>1.1226614784</v>
      </c>
      <c r="H21" s="14"/>
      <c r="I21" s="119"/>
      <c r="J21" s="14">
        <f>((5427160*0.907185)*36.744)/1000000</f>
        <v>180.90681118518239</v>
      </c>
      <c r="K21" s="41"/>
      <c r="L21" s="7">
        <f>(2413962.6*36.744)/1000000</f>
        <v>88.698641774400002</v>
      </c>
      <c r="M21" s="7"/>
      <c r="N21" s="14"/>
      <c r="Q21" s="129"/>
    </row>
    <row r="22" spans="1:17" ht="16.5" customHeight="1">
      <c r="A22" s="18" t="s">
        <v>48</v>
      </c>
      <c r="B22" s="119"/>
      <c r="C22" s="119"/>
      <c r="E22" s="42">
        <f>N18</f>
        <v>1931.3030000000001</v>
      </c>
      <c r="F22" s="42"/>
      <c r="G22" s="7">
        <f>SUM(G19:G21)</f>
        <v>4.1671407144000003</v>
      </c>
      <c r="H22" s="14">
        <f>E22+F22+G22</f>
        <v>1935.4701407144</v>
      </c>
      <c r="I22" s="119"/>
      <c r="J22" s="14">
        <f>SUM(J19:J21)</f>
        <v>554.67223119137486</v>
      </c>
      <c r="K22" s="41">
        <f>M22-L22-J22</f>
        <v>69.419970989425224</v>
      </c>
      <c r="L22" s="7">
        <f>SUM(L19:L21)</f>
        <v>340.08893853360001</v>
      </c>
      <c r="M22" s="7">
        <f>H22-N22</f>
        <v>964.18114071440004</v>
      </c>
      <c r="N22" s="14">
        <v>971.28899999999999</v>
      </c>
    </row>
    <row r="23" spans="1:17" ht="16.5" customHeight="1">
      <c r="A23" s="18" t="s">
        <v>49</v>
      </c>
      <c r="B23" s="119"/>
      <c r="C23" s="119"/>
      <c r="D23"/>
      <c r="E23" s="42"/>
      <c r="F23" s="42"/>
      <c r="G23" s="7">
        <f>(21134.8*36.744)/1000000</f>
        <v>0.77657709120000007</v>
      </c>
      <c r="H23" s="14"/>
      <c r="I23" s="119"/>
      <c r="J23" s="14">
        <f>((5222412*0.907185)*36.744)/1000000</f>
        <v>174.08182209760369</v>
      </c>
      <c r="K23" s="41"/>
      <c r="L23" s="7">
        <f>(2271040.2*36.744)/1000000</f>
        <v>83.447101108800013</v>
      </c>
      <c r="M23" s="7"/>
      <c r="N23" s="14"/>
      <c r="Q23"/>
    </row>
    <row r="24" spans="1:17" ht="16.5" customHeight="1">
      <c r="A24" s="18" t="s">
        <v>50</v>
      </c>
      <c r="B24" s="119"/>
      <c r="C24" s="119"/>
      <c r="D24"/>
      <c r="E24" s="42"/>
      <c r="F24" s="42"/>
      <c r="G24" s="7">
        <f>(60079*36.744)/1000000</f>
        <v>2.2075427759999999</v>
      </c>
      <c r="H24" s="14"/>
      <c r="I24" s="119"/>
      <c r="J24" s="14">
        <f>((5440043*0.907185)*36.744)/1000000</f>
        <v>181.33624802664252</v>
      </c>
      <c r="K24" s="41"/>
      <c r="L24" s="7">
        <f>(2323087.5*36.744)/1000000</f>
        <v>85.359527099999994</v>
      </c>
      <c r="M24" s="7"/>
      <c r="N24" s="14"/>
      <c r="Q24"/>
    </row>
    <row r="25" spans="1:17" ht="16.5" customHeight="1">
      <c r="A25" s="18" t="s">
        <v>51</v>
      </c>
      <c r="B25" s="119"/>
      <c r="C25" s="119"/>
      <c r="D25"/>
      <c r="E25" s="42"/>
      <c r="F25" s="42"/>
      <c r="G25" s="7">
        <f>(60683.8*36.744)/1000000</f>
        <v>2.2297655472</v>
      </c>
      <c r="H25" s="14"/>
      <c r="I25" s="119"/>
      <c r="J25" s="14">
        <f>((5252619*0.907185)*36.744)/1000000</f>
        <v>175.08873032317118</v>
      </c>
      <c r="K25" s="41"/>
      <c r="L25" s="7">
        <f>(3317459.2*36.744)/1000000</f>
        <v>121.89672084480002</v>
      </c>
      <c r="M25" s="7"/>
      <c r="N25" s="14"/>
      <c r="Q25"/>
    </row>
    <row r="26" spans="1:17" ht="16.5" customHeight="1">
      <c r="A26" s="18" t="s">
        <v>52</v>
      </c>
      <c r="B26" s="119"/>
      <c r="C26" s="119"/>
      <c r="D26"/>
      <c r="E26" s="42">
        <f>N22</f>
        <v>971.28899999999999</v>
      </c>
      <c r="F26" s="42"/>
      <c r="G26" s="7">
        <f>SUM(G23:G25)</f>
        <v>5.2138854144</v>
      </c>
      <c r="H26" s="14">
        <f>E26+F26+G26</f>
        <v>976.5028854144</v>
      </c>
      <c r="I26" s="119"/>
      <c r="J26" s="14">
        <f>SUM(J23:J25)</f>
        <v>530.50680044741739</v>
      </c>
      <c r="K26" s="41">
        <f>M26-L26-J26</f>
        <v>-118.46326408661741</v>
      </c>
      <c r="L26" s="7">
        <f>SUM(L23:L25)</f>
        <v>290.70334905360005</v>
      </c>
      <c r="M26" s="7">
        <f>H26-N26</f>
        <v>702.74688541440003</v>
      </c>
      <c r="N26" s="14">
        <f>273.756</f>
        <v>273.75599999999997</v>
      </c>
      <c r="Q26"/>
    </row>
    <row r="27" spans="1:17" ht="16.5" customHeight="1">
      <c r="A27" s="22" t="s">
        <v>28</v>
      </c>
      <c r="B27" s="119"/>
      <c r="C27" s="119"/>
      <c r="D27" s="119"/>
      <c r="E27" s="42"/>
      <c r="F27" s="42">
        <f>F14</f>
        <v>4465.3819999999996</v>
      </c>
      <c r="G27" s="7">
        <f>(433000.6*36.744)/1000000</f>
        <v>15.9101740464</v>
      </c>
      <c r="H27" s="14">
        <f>E14+F27+G27</f>
        <v>4738.2711740464001</v>
      </c>
      <c r="I27" s="119"/>
      <c r="J27" s="14">
        <f>SUM(J14,J18,J22,J26)</f>
        <v>2203.8322700661743</v>
      </c>
      <c r="K27" s="41">
        <f>SUM(K14,K18,K22,K26)</f>
        <v>103.03621654982567</v>
      </c>
      <c r="L27" s="7">
        <f>(58721061.6*36.744)/1000000</f>
        <v>2157.6466874304001</v>
      </c>
      <c r="M27" s="7">
        <f>SUM(M14,M18,M22,M26)</f>
        <v>4464.5151777208002</v>
      </c>
      <c r="N27" s="14"/>
    </row>
    <row r="28" spans="1:17" ht="16.5" customHeight="1">
      <c r="A28" s="22"/>
      <c r="B28" s="119"/>
      <c r="C28" s="119"/>
      <c r="D28" s="119"/>
      <c r="E28" s="42"/>
      <c r="F28" s="42"/>
      <c r="G28" s="7"/>
      <c r="H28" s="14"/>
      <c r="I28" s="119"/>
      <c r="J28" s="14"/>
      <c r="K28" s="41"/>
      <c r="L28" s="7"/>
      <c r="M28" s="7"/>
      <c r="N28" s="14"/>
    </row>
    <row r="29" spans="1:17" ht="16.5" customHeight="1">
      <c r="A29" s="52" t="s">
        <v>156</v>
      </c>
      <c r="B29" s="119"/>
      <c r="C29" s="119"/>
      <c r="D29" s="119"/>
      <c r="E29" s="42"/>
      <c r="F29" s="42"/>
      <c r="G29" s="7"/>
      <c r="H29" s="14"/>
      <c r="I29" s="119"/>
      <c r="J29" s="14"/>
      <c r="K29" s="41"/>
      <c r="L29" s="7"/>
      <c r="M29" s="7"/>
      <c r="N29" s="14"/>
    </row>
    <row r="30" spans="1:17" ht="16.5" customHeight="1">
      <c r="A30" s="22" t="s">
        <v>37</v>
      </c>
      <c r="B30" s="119"/>
      <c r="C30" s="119"/>
      <c r="D30" s="119"/>
      <c r="E30" s="42">
        <f>N26</f>
        <v>273.75599999999997</v>
      </c>
      <c r="F30" s="42"/>
      <c r="G30" s="7">
        <f>(31760.9*36.744)/1000000</f>
        <v>1.1670225096</v>
      </c>
      <c r="H30" s="14"/>
      <c r="I30" s="119"/>
      <c r="J30" s="14">
        <f>((5028287*0.907185)*36.744)/1000000</f>
        <v>167.6109359027387</v>
      </c>
      <c r="K30" s="41"/>
      <c r="L30" s="7">
        <f>(2122949.2*36.744)/1000000</f>
        <v>78.005645404800006</v>
      </c>
      <c r="M30" s="7"/>
      <c r="N30" s="14"/>
    </row>
    <row r="31" spans="1:17" ht="16.5" customHeight="1">
      <c r="A31" s="113" t="s">
        <v>54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114"/>
      <c r="M31" s="92"/>
      <c r="N31" s="92"/>
    </row>
    <row r="32" spans="1:17" ht="16.5" customHeight="1">
      <c r="A32" s="18" t="s">
        <v>55</v>
      </c>
      <c r="B32" s="18"/>
      <c r="C32" s="18"/>
      <c r="D32" s="18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73" ht="16.5" customHeight="1">
      <c r="A33" s="24" t="s">
        <v>56</v>
      </c>
      <c r="B33" s="47">
        <f>Contents!A16</f>
        <v>44879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20"/>
      <c r="P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</row>
    <row r="34" spans="1:73">
      <c r="O34" s="120"/>
      <c r="P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</row>
    <row r="35" spans="1:73">
      <c r="O35" s="120"/>
      <c r="P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</row>
    <row r="36" spans="1:73">
      <c r="O36" s="120"/>
      <c r="P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</row>
    <row r="37" spans="1:73">
      <c r="F37" s="48"/>
      <c r="O37" s="120"/>
      <c r="P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</row>
    <row r="38" spans="1:73">
      <c r="O38" s="120"/>
      <c r="P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</row>
    <row r="39" spans="1:73">
      <c r="O39" s="120"/>
      <c r="P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</row>
    <row r="40" spans="1:73">
      <c r="O40" s="120"/>
      <c r="P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</row>
    <row r="41" spans="1:73">
      <c r="O41" s="120"/>
      <c r="P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</row>
    <row r="42" spans="1:73">
      <c r="O42" s="120"/>
      <c r="P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</row>
    <row r="43" spans="1:73">
      <c r="O43" s="120"/>
      <c r="P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</row>
    <row r="44" spans="1:73">
      <c r="O44" s="120"/>
      <c r="P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</row>
    <row r="45" spans="1:73">
      <c r="O45" s="120"/>
      <c r="P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</row>
    <row r="46" spans="1:73">
      <c r="O46" s="120"/>
      <c r="P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</row>
    <row r="47" spans="1:73">
      <c r="O47" s="120"/>
      <c r="P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</row>
    <row r="48" spans="1:73">
      <c r="O48" s="120"/>
      <c r="P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</row>
    <row r="49" spans="15:73">
      <c r="O49" s="120"/>
      <c r="P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</row>
    <row r="50" spans="15:73">
      <c r="O50" s="120"/>
      <c r="P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</row>
    <row r="51" spans="15:73">
      <c r="O51" s="120"/>
      <c r="P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</row>
    <row r="52" spans="15:73">
      <c r="O52" s="120"/>
      <c r="P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</row>
    <row r="53" spans="15:73">
      <c r="O53" s="120"/>
      <c r="P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</row>
    <row r="54" spans="15:73">
      <c r="O54" s="120"/>
      <c r="P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</row>
    <row r="55" spans="15:73">
      <c r="O55" s="120"/>
      <c r="P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</row>
    <row r="56" spans="15:73">
      <c r="O56" s="120"/>
      <c r="P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</row>
    <row r="57" spans="15:73">
      <c r="O57" s="120"/>
      <c r="P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</row>
    <row r="58" spans="15:73">
      <c r="O58" s="120"/>
      <c r="P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</row>
    <row r="59" spans="15:73">
      <c r="O59" s="120"/>
      <c r="P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</row>
    <row r="60" spans="15:73">
      <c r="O60" s="120"/>
      <c r="P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</row>
    <row r="61" spans="15:73"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</row>
    <row r="62" spans="15:73"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</row>
    <row r="63" spans="15:73"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</row>
    <row r="64" spans="15:73"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</row>
    <row r="65" spans="15:73"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</row>
    <row r="66" spans="15:73"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</row>
    <row r="67" spans="15:73"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</row>
    <row r="68" spans="15:73"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</row>
    <row r="69" spans="15:73"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</row>
    <row r="70" spans="15:73"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</row>
    <row r="71" spans="15:73"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</row>
    <row r="72" spans="15:73"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</row>
    <row r="73" spans="15:73"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</row>
    <row r="74" spans="15:73"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</row>
    <row r="75" spans="15:73"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</row>
    <row r="76" spans="15:73"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</row>
    <row r="77" spans="15:73"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</row>
    <row r="78" spans="15:73"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</row>
    <row r="79" spans="15:73"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</row>
    <row r="80" spans="15:73"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</row>
    <row r="81" spans="15:73"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</row>
    <row r="82" spans="15:73"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</row>
    <row r="83" spans="15:73"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</row>
    <row r="84" spans="15:73"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</row>
    <row r="85" spans="15:73"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</row>
    <row r="86" spans="15:73"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</row>
    <row r="87" spans="15:73"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</row>
    <row r="88" spans="15:73"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</row>
    <row r="89" spans="15:73"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</row>
    <row r="90" spans="15:73"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</row>
    <row r="91" spans="15:73"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</row>
    <row r="92" spans="15:73"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</row>
    <row r="93" spans="15:73"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</row>
    <row r="94" spans="15:73"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</row>
    <row r="95" spans="15:73"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</row>
    <row r="96" spans="15:73"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</row>
    <row r="97" spans="15:73"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</row>
    <row r="98" spans="15:73"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</row>
    <row r="99" spans="15:73"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</row>
    <row r="100" spans="15:73"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</row>
    <row r="101" spans="15:73"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</row>
    <row r="102" spans="15:73"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</row>
    <row r="103" spans="15:73"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</row>
    <row r="104" spans="15:73"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</row>
    <row r="105" spans="15:73"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</row>
    <row r="106" spans="15:73"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</row>
    <row r="107" spans="15:73"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</row>
    <row r="108" spans="15:73"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</row>
    <row r="109" spans="15:73"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</row>
    <row r="110" spans="15:73"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</row>
    <row r="111" spans="15:73"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</row>
    <row r="112" spans="15:73"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</row>
    <row r="113" spans="15:73"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</row>
    <row r="114" spans="15:73"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</row>
    <row r="115" spans="15:73"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</row>
    <row r="116" spans="15:73"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</row>
    <row r="117" spans="15:73"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</row>
    <row r="118" spans="15:73"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</row>
    <row r="119" spans="15:73"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</row>
    <row r="120" spans="15:73"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</row>
    <row r="121" spans="15:73"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</row>
    <row r="122" spans="15:73"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</row>
    <row r="123" spans="15:73"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</row>
    <row r="124" spans="15:73"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</row>
    <row r="125" spans="15:73"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</row>
    <row r="126" spans="15:73"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</row>
    <row r="127" spans="15:73"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</row>
    <row r="128" spans="15:73"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</row>
    <row r="129" spans="15:73"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</row>
    <row r="130" spans="15:73"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</row>
    <row r="131" spans="15:73"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</row>
    <row r="132" spans="15:73"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</row>
    <row r="133" spans="15:73"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</row>
    <row r="134" spans="15:73"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</row>
    <row r="135" spans="15:73"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</row>
    <row r="136" spans="15:73"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</row>
    <row r="137" spans="15:73"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</row>
    <row r="138" spans="15:73"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</row>
    <row r="139" spans="15:73"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</row>
    <row r="140" spans="15:73"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</row>
    <row r="141" spans="15:73"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</row>
    <row r="142" spans="15:73"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</row>
    <row r="143" spans="15:73"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</row>
    <row r="144" spans="15:73"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</row>
    <row r="145" spans="15:73"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</row>
    <row r="146" spans="15:73"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</row>
    <row r="147" spans="15:73"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</row>
    <row r="148" spans="15:73"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</row>
    <row r="149" spans="15:73"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</row>
    <row r="150" spans="15:73"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</row>
    <row r="151" spans="15:73"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</row>
    <row r="152" spans="15:73"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</row>
    <row r="153" spans="15:73"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</row>
    <row r="154" spans="15:73"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</row>
    <row r="155" spans="15:73"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</row>
    <row r="156" spans="15:73"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</row>
    <row r="157" spans="15:73"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</row>
    <row r="158" spans="15:73"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</row>
    <row r="159" spans="15:73"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</row>
    <row r="160" spans="15:73"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</row>
    <row r="161" spans="15:73"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</row>
    <row r="162" spans="15:73"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</row>
    <row r="163" spans="15:73"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</row>
    <row r="164" spans="15:73"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</row>
    <row r="165" spans="15:73"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</row>
    <row r="166" spans="15:73"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</row>
    <row r="167" spans="15:73"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</row>
    <row r="168" spans="15:73"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</row>
    <row r="169" spans="15:73"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</row>
    <row r="170" spans="15:73"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</row>
    <row r="171" spans="15:73"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</row>
    <row r="172" spans="15:73"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</row>
    <row r="173" spans="15:73"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</row>
    <row r="174" spans="15:73"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</row>
    <row r="175" spans="15:73"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</row>
    <row r="176" spans="15:73"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</row>
    <row r="177" spans="15:73"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</row>
    <row r="178" spans="15:73"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</row>
    <row r="179" spans="15:73"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</row>
    <row r="180" spans="15:73"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</row>
    <row r="181" spans="15:73"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</row>
    <row r="182" spans="15:73"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</row>
    <row r="183" spans="15:73"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</row>
    <row r="184" spans="15:73"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</row>
    <row r="185" spans="15:73"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</row>
    <row r="186" spans="15:73"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</row>
    <row r="187" spans="15:73"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</row>
    <row r="188" spans="15:73"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</row>
    <row r="189" spans="15:73"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</row>
    <row r="190" spans="15:73"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</row>
    <row r="191" spans="15:73"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</row>
    <row r="192" spans="15:73"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</row>
    <row r="193" spans="15:73"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</row>
    <row r="194" spans="15:73"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</row>
    <row r="195" spans="15:73"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</row>
    <row r="196" spans="15:73"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</row>
    <row r="197" spans="15:73"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</row>
    <row r="198" spans="15:73"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</row>
    <row r="199" spans="15:73"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</row>
    <row r="200" spans="15:73"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</row>
    <row r="201" spans="15:73"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</row>
    <row r="202" spans="15:73"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</row>
    <row r="203" spans="15:73"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</row>
    <row r="204" spans="15:73"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</row>
    <row r="205" spans="15:73"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</row>
    <row r="206" spans="15:73"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</row>
    <row r="207" spans="15:73"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</row>
    <row r="208" spans="15:73"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</row>
    <row r="209" spans="15:73"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</row>
    <row r="210" spans="15:73"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</row>
    <row r="211" spans="15:73"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</row>
    <row r="212" spans="15:73"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</row>
    <row r="213" spans="15:73"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</row>
    <row r="214" spans="15:73"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</row>
    <row r="215" spans="15:73"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</row>
    <row r="216" spans="15:73"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</row>
    <row r="217" spans="15:73"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</row>
    <row r="218" spans="15:73"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</row>
    <row r="219" spans="15:73"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</row>
    <row r="220" spans="15:73"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</row>
    <row r="221" spans="15:73"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</row>
    <row r="222" spans="15:73"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</row>
    <row r="223" spans="15:73"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</row>
    <row r="224" spans="15:73"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</row>
    <row r="225" spans="15:73"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</row>
    <row r="226" spans="15:73"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</row>
    <row r="227" spans="15:73"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</row>
    <row r="228" spans="15:73"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</row>
    <row r="229" spans="15:73"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</row>
    <row r="230" spans="15:73"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</row>
    <row r="231" spans="15:73"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</row>
    <row r="232" spans="15:73"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</row>
    <row r="233" spans="15:73"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</row>
    <row r="234" spans="15:73"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</row>
    <row r="235" spans="15:73"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</row>
    <row r="236" spans="15:73"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</row>
    <row r="237" spans="15:73"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</row>
    <row r="238" spans="15:73"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</row>
    <row r="239" spans="15:73"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</row>
    <row r="240" spans="15:73"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</row>
    <row r="241" spans="15:73"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</row>
    <row r="242" spans="15:73"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</row>
    <row r="243" spans="15:73"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</row>
    <row r="244" spans="15:73"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</row>
    <row r="245" spans="15:73"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</row>
    <row r="246" spans="15:73"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</row>
    <row r="247" spans="15:73"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</row>
    <row r="248" spans="15:73"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</row>
    <row r="249" spans="15:73"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</row>
    <row r="250" spans="15:73"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</row>
    <row r="251" spans="15:73"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</row>
    <row r="252" spans="15:73"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</row>
    <row r="253" spans="15:73"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</row>
    <row r="254" spans="15:73"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</row>
    <row r="255" spans="15:73"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</row>
    <row r="256" spans="15:73"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</row>
    <row r="257" spans="15:73"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</row>
    <row r="258" spans="15:73"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</row>
    <row r="259" spans="15:73"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</row>
    <row r="260" spans="15:73"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</row>
    <row r="261" spans="15:73"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</row>
    <row r="262" spans="15:73"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</row>
    <row r="263" spans="15:73"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</row>
    <row r="264" spans="15:73"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</row>
    <row r="265" spans="15:73"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</row>
    <row r="266" spans="15:73"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</row>
    <row r="267" spans="15:73"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</row>
    <row r="268" spans="15:73"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</row>
    <row r="269" spans="15:73"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</row>
    <row r="270" spans="15:73"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</row>
    <row r="271" spans="15:73"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</row>
    <row r="272" spans="15:73"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</row>
    <row r="273" spans="15:73"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</row>
    <row r="274" spans="15:73"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</row>
    <row r="275" spans="15:73"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</row>
    <row r="276" spans="15:73"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</row>
    <row r="277" spans="15:73"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</row>
    <row r="278" spans="15:73"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</row>
    <row r="279" spans="15:73"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</row>
    <row r="280" spans="15:73"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</row>
    <row r="281" spans="15:73"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</row>
    <row r="282" spans="15:73"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</row>
    <row r="283" spans="15:73"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</row>
    <row r="284" spans="15:73"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</row>
    <row r="285" spans="15:73"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</row>
    <row r="286" spans="15:73"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</row>
    <row r="287" spans="15:73"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</row>
    <row r="288" spans="15:73"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</row>
    <row r="289" spans="15:73"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</row>
    <row r="290" spans="15:73"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</row>
    <row r="291" spans="15:73"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</row>
    <row r="292" spans="15:73"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</row>
    <row r="293" spans="15:73"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</row>
    <row r="294" spans="15:73"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</row>
    <row r="295" spans="15:73"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</row>
    <row r="296" spans="15:73"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</row>
    <row r="297" spans="15:73"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</row>
    <row r="298" spans="15:73"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</row>
    <row r="299" spans="15:73"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</row>
    <row r="300" spans="15:73"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</row>
    <row r="301" spans="15:73"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</row>
    <row r="302" spans="15:73"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</row>
    <row r="303" spans="15:73"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</row>
    <row r="304" spans="15:73"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</row>
    <row r="305" spans="15:73"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</row>
    <row r="306" spans="15:73"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</row>
    <row r="307" spans="15:73"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</row>
    <row r="308" spans="15:73"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</row>
    <row r="309" spans="15:73"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</row>
    <row r="310" spans="15:73"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</row>
    <row r="311" spans="15:73"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</row>
    <row r="312" spans="15:73"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</row>
    <row r="313" spans="15:73"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</row>
    <row r="314" spans="15:73"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</row>
    <row r="315" spans="15:73"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</row>
    <row r="316" spans="15:73"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</row>
    <row r="317" spans="15:73"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</row>
    <row r="318" spans="15:73"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</row>
    <row r="319" spans="15:73"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</row>
    <row r="320" spans="15:73"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</row>
    <row r="321" spans="15:73"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</row>
    <row r="322" spans="15:73"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</row>
    <row r="323" spans="15:73"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</row>
    <row r="324" spans="15:73"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</row>
    <row r="325" spans="15:73"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</row>
    <row r="326" spans="15:73"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</row>
    <row r="327" spans="15:73"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</row>
    <row r="328" spans="15:73"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</row>
    <row r="329" spans="15:73"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</row>
    <row r="330" spans="15:73"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</row>
    <row r="331" spans="15:73"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</row>
    <row r="332" spans="15:73"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</row>
    <row r="333" spans="15:73"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</row>
    <row r="334" spans="15:73"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</row>
    <row r="335" spans="15:73"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</row>
    <row r="336" spans="15:73"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</row>
    <row r="337" spans="15:73"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</row>
    <row r="338" spans="15:73"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</row>
    <row r="339" spans="15:73"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</row>
    <row r="340" spans="15:73"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</row>
    <row r="341" spans="15:73"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</row>
    <row r="342" spans="15:73"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</row>
    <row r="343" spans="15:73"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</row>
    <row r="344" spans="15:73"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</row>
    <row r="345" spans="15:73"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</row>
    <row r="346" spans="15:73"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</row>
    <row r="347" spans="15:73"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</row>
    <row r="348" spans="15:73"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</row>
    <row r="349" spans="15:73"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</row>
    <row r="350" spans="15:73"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</row>
    <row r="351" spans="15:73"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</row>
    <row r="352" spans="15:73"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</row>
    <row r="353" spans="15:73"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</row>
    <row r="354" spans="15:73"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</row>
    <row r="355" spans="15:73"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</row>
    <row r="356" spans="15:73"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</row>
    <row r="357" spans="15:73"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</row>
    <row r="358" spans="15:73"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</row>
    <row r="359" spans="15:73"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</row>
    <row r="360" spans="15:73"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</row>
    <row r="361" spans="15:73"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</row>
    <row r="362" spans="15:73"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</row>
    <row r="363" spans="15:73"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</row>
    <row r="364" spans="15:73"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</row>
    <row r="365" spans="15:73"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</row>
    <row r="366" spans="15:73"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</row>
    <row r="367" spans="15:73"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</row>
    <row r="368" spans="15:73"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</row>
    <row r="369" spans="15:73"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</row>
    <row r="370" spans="15:73"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</row>
    <row r="371" spans="15:73"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</row>
    <row r="372" spans="15:73"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</row>
    <row r="373" spans="15:73"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</row>
    <row r="374" spans="15:73"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</row>
    <row r="375" spans="15:73"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</row>
    <row r="376" spans="15:73"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</row>
    <row r="377" spans="15:73"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</row>
    <row r="378" spans="15:73"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</row>
    <row r="379" spans="15:73"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</row>
    <row r="380" spans="15:73"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</row>
    <row r="381" spans="15:73"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</row>
    <row r="382" spans="15:73"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</row>
    <row r="383" spans="15:73"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</row>
    <row r="384" spans="15:73"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</row>
    <row r="385" spans="15:73"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</row>
    <row r="386" spans="15:73"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</row>
    <row r="387" spans="15:73"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</row>
    <row r="388" spans="15:73"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</row>
    <row r="389" spans="15:73"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</row>
    <row r="390" spans="15:73"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</row>
    <row r="391" spans="15:73"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</row>
    <row r="392" spans="15:73"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</row>
    <row r="393" spans="15:73"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</row>
    <row r="394" spans="15:73"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</row>
    <row r="395" spans="15:73"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</row>
    <row r="396" spans="15:73"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</row>
    <row r="397" spans="15:73"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</row>
    <row r="398" spans="15:73"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</row>
    <row r="399" spans="15:73"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</row>
    <row r="400" spans="15:73"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</row>
    <row r="401" spans="15:73"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</row>
    <row r="402" spans="15:73"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</row>
    <row r="403" spans="15:73"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</row>
    <row r="404" spans="15:73"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</row>
    <row r="405" spans="15:73"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</row>
    <row r="406" spans="15:73"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</row>
    <row r="407" spans="15:73"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</row>
    <row r="408" spans="15:73"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</row>
    <row r="409" spans="15:73"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</row>
    <row r="410" spans="15:73"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</row>
    <row r="411" spans="15:73"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</row>
    <row r="412" spans="15:73"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</row>
    <row r="413" spans="15:73"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</row>
    <row r="414" spans="15:73"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</row>
    <row r="415" spans="15:73"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</row>
    <row r="416" spans="15:73"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</row>
    <row r="417" spans="15:73"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</row>
    <row r="418" spans="15:73"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</row>
    <row r="419" spans="15:73"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</row>
    <row r="420" spans="15:73"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</row>
    <row r="421" spans="15:73"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</row>
    <row r="422" spans="15:73"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</row>
    <row r="423" spans="15:73"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</row>
    <row r="424" spans="15:73"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</row>
    <row r="425" spans="15:73"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</row>
    <row r="426" spans="15:73"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</row>
    <row r="427" spans="15:73"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</row>
    <row r="428" spans="15:73"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</row>
    <row r="429" spans="15:73"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</row>
    <row r="430" spans="15:73"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</row>
    <row r="431" spans="15:73"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</row>
    <row r="432" spans="15:73"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</row>
    <row r="433" spans="15:73"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</row>
    <row r="434" spans="15:73"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</row>
    <row r="435" spans="15:73"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</row>
    <row r="436" spans="15:73"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</row>
    <row r="437" spans="15:73"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</row>
    <row r="438" spans="15:73"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</row>
    <row r="439" spans="15:73"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</row>
    <row r="440" spans="15:73"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</row>
    <row r="441" spans="15:73"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</row>
    <row r="442" spans="15:73"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</row>
    <row r="443" spans="15:73"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</row>
    <row r="444" spans="15:73"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</row>
    <row r="445" spans="15:73"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</row>
    <row r="446" spans="15:73"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</row>
    <row r="447" spans="15:73"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</row>
    <row r="448" spans="15:73"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</row>
    <row r="449" spans="15:73"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</row>
    <row r="450" spans="15:73"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</row>
    <row r="451" spans="15:73"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</row>
    <row r="452" spans="15:73"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</row>
    <row r="453" spans="15:73"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</row>
    <row r="454" spans="15:73"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</row>
    <row r="455" spans="15:73"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</row>
    <row r="456" spans="15:73"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</row>
    <row r="457" spans="15:73"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</row>
    <row r="458" spans="15:73"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</row>
    <row r="459" spans="15:73"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</row>
    <row r="460" spans="15:73"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</row>
    <row r="461" spans="15:73"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</row>
    <row r="462" spans="15:73"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</row>
    <row r="463" spans="15:73"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</row>
    <row r="464" spans="15:73"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</row>
    <row r="465" spans="15:73"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</row>
    <row r="466" spans="15:73"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</row>
    <row r="467" spans="15:73"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</row>
    <row r="468" spans="15:73"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</row>
    <row r="469" spans="15:73"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</row>
    <row r="470" spans="15:73"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</row>
    <row r="471" spans="15:73"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</row>
    <row r="472" spans="15:73"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</row>
    <row r="473" spans="15:73"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</row>
    <row r="474" spans="15:73"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</row>
    <row r="475" spans="15:73"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</row>
    <row r="476" spans="15:73"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</row>
    <row r="477" spans="15:73"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</row>
    <row r="478" spans="15:73"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</row>
    <row r="479" spans="15:73"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</row>
    <row r="480" spans="15:73"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</row>
    <row r="481" spans="15:73"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</row>
    <row r="482" spans="15:73"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</row>
    <row r="483" spans="15:73"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</row>
    <row r="484" spans="15:73"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</row>
    <row r="485" spans="15:73"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</row>
    <row r="486" spans="15:73"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</row>
    <row r="487" spans="15:73"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</row>
    <row r="488" spans="15:73"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</row>
    <row r="489" spans="15:73"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</row>
    <row r="490" spans="15:73"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</row>
    <row r="491" spans="15:73"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</row>
    <row r="492" spans="15:73"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</row>
    <row r="493" spans="15:73"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</row>
    <row r="494" spans="15:73"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</row>
    <row r="495" spans="15:73"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</row>
    <row r="496" spans="15:73"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</row>
    <row r="497" spans="15:73"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</row>
    <row r="498" spans="15:73"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</row>
    <row r="499" spans="15:73"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</row>
    <row r="500" spans="15:73"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</row>
    <row r="501" spans="15:73"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</row>
    <row r="502" spans="15:73"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</row>
    <row r="503" spans="15:73"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</row>
    <row r="504" spans="15:73"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</row>
    <row r="505" spans="15:73"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</row>
    <row r="506" spans="15:73"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</row>
    <row r="507" spans="15:73"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</row>
    <row r="508" spans="15:73"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</row>
    <row r="509" spans="15:73"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</row>
    <row r="510" spans="15:73"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</row>
    <row r="511" spans="15:73"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</row>
    <row r="512" spans="15:73"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</row>
    <row r="513" spans="15:73"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</row>
    <row r="514" spans="15:73"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</row>
    <row r="515" spans="15:73"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</row>
    <row r="516" spans="15:73"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</row>
    <row r="517" spans="15:73"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</row>
    <row r="518" spans="15:73"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</row>
    <row r="519" spans="15:73"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</row>
    <row r="520" spans="15:73"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</row>
    <row r="521" spans="15:73"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</row>
    <row r="522" spans="15:73"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</row>
    <row r="523" spans="15:73"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</row>
    <row r="524" spans="15:73"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</row>
    <row r="525" spans="15:73"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</row>
    <row r="526" spans="15:73"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</row>
    <row r="527" spans="15:73"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</row>
    <row r="528" spans="15:73"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</row>
    <row r="529" spans="15:73"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</row>
    <row r="530" spans="15:73"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</row>
  </sheetData>
  <dataConsolidate link="1"/>
  <phoneticPr fontId="19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5"/>
  <sheetViews>
    <sheetView showGridLines="0" zoomScale="70" zoomScaleNormal="70" workbookViewId="0">
      <selection activeCell="G7" sqref="G7"/>
    </sheetView>
  </sheetViews>
  <sheetFormatPr defaultColWidth="9.109375" defaultRowHeight="13.2"/>
  <cols>
    <col min="1" max="1" width="16" style="17" customWidth="1"/>
    <col min="2" max="2" width="12.33203125" style="17" bestFit="1" customWidth="1"/>
    <col min="3" max="3" width="13" style="17" bestFit="1" customWidth="1"/>
    <col min="4" max="4" width="8.6640625" style="17" bestFit="1" customWidth="1"/>
    <col min="5" max="5" width="11.5546875" style="17" bestFit="1" customWidth="1"/>
    <col min="6" max="6" width="1.6640625" style="17" customWidth="1"/>
    <col min="7" max="9" width="11.5546875" style="17" bestFit="1" customWidth="1"/>
    <col min="10" max="10" width="10.6640625" style="17" customWidth="1"/>
    <col min="11" max="11" width="13.5546875" style="17" customWidth="1"/>
    <col min="12" max="12" width="11.6640625" style="17" bestFit="1" customWidth="1"/>
    <col min="13" max="16384" width="9.109375" style="17"/>
  </cols>
  <sheetData>
    <row r="1" spans="1:12" ht="13.8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13.8">
      <c r="A2" s="18"/>
      <c r="B2" s="167" t="s">
        <v>57</v>
      </c>
      <c r="C2" s="167"/>
      <c r="D2" s="167"/>
      <c r="E2" s="167"/>
      <c r="F2" s="22"/>
      <c r="G2" s="167" t="s">
        <v>58</v>
      </c>
      <c r="H2" s="167"/>
      <c r="I2" s="167"/>
      <c r="J2" s="18"/>
    </row>
    <row r="3" spans="1:12" ht="13.8">
      <c r="A3" s="18" t="s">
        <v>17</v>
      </c>
      <c r="B3" s="20" t="s">
        <v>20</v>
      </c>
      <c r="C3" s="24"/>
      <c r="D3" s="24"/>
      <c r="E3" s="24"/>
      <c r="F3" s="24"/>
      <c r="G3" s="24"/>
      <c r="H3" s="24"/>
      <c r="I3" s="24"/>
      <c r="J3" s="20" t="s">
        <v>59</v>
      </c>
    </row>
    <row r="4" spans="1:12" ht="13.8">
      <c r="A4" s="25" t="s">
        <v>60</v>
      </c>
      <c r="B4" s="27" t="s">
        <v>61</v>
      </c>
      <c r="C4" s="27" t="s">
        <v>26</v>
      </c>
      <c r="D4" s="27" t="s">
        <v>27</v>
      </c>
      <c r="E4" s="29" t="s">
        <v>62</v>
      </c>
      <c r="F4" s="28"/>
      <c r="G4" s="27" t="s">
        <v>63</v>
      </c>
      <c r="H4" s="27" t="s">
        <v>64</v>
      </c>
      <c r="I4" s="27" t="s">
        <v>62</v>
      </c>
      <c r="J4" s="27" t="s">
        <v>65</v>
      </c>
    </row>
    <row r="5" spans="1:12" ht="14.4">
      <c r="A5" s="18"/>
      <c r="B5" s="168" t="s">
        <v>66</v>
      </c>
      <c r="C5" s="168"/>
      <c r="D5" s="168"/>
      <c r="E5" s="168"/>
      <c r="F5" s="168"/>
      <c r="G5" s="168"/>
      <c r="H5" s="168"/>
      <c r="I5" s="168"/>
      <c r="J5" s="168"/>
    </row>
    <row r="6" spans="1:12" ht="13.8">
      <c r="A6" s="18" t="s">
        <v>34</v>
      </c>
      <c r="B6" s="49">
        <v>341.33600000000001</v>
      </c>
      <c r="C6" s="50">
        <f>C23</f>
        <v>50564.716999999997</v>
      </c>
      <c r="D6" s="50">
        <f>D23</f>
        <v>784.47037552399991</v>
      </c>
      <c r="E6" s="36">
        <f>E23</f>
        <v>51690.523375523997</v>
      </c>
      <c r="F6" s="50"/>
      <c r="G6" s="50">
        <f>G23</f>
        <v>37674.379976930999</v>
      </c>
      <c r="H6" s="50">
        <f>H23</f>
        <v>13675.348139189</v>
      </c>
      <c r="I6" s="50">
        <f>I23</f>
        <v>51349.728116120001</v>
      </c>
      <c r="J6" s="50">
        <f>J22</f>
        <v>340.786</v>
      </c>
    </row>
    <row r="7" spans="1:12" ht="16.2">
      <c r="A7" s="18" t="s">
        <v>35</v>
      </c>
      <c r="B7" s="49">
        <f>J6</f>
        <v>340.786</v>
      </c>
      <c r="C7" s="50">
        <f>C38</f>
        <v>51810.551000000007</v>
      </c>
      <c r="D7" s="50">
        <f>D38</f>
        <v>649.11497484899996</v>
      </c>
      <c r="E7" s="36">
        <f>E38</f>
        <v>52800.451974849006</v>
      </c>
      <c r="F7" s="50"/>
      <c r="G7" s="50">
        <f>G38</f>
        <v>38965.713926673008</v>
      </c>
      <c r="H7" s="50">
        <f>H38</f>
        <v>13523.811048175998</v>
      </c>
      <c r="I7" s="50">
        <f>I38</f>
        <v>52489.52497484901</v>
      </c>
      <c r="J7" s="50">
        <f>J37</f>
        <v>310.92700000000002</v>
      </c>
    </row>
    <row r="8" spans="1:12" ht="16.2">
      <c r="A8" s="18" t="s">
        <v>36</v>
      </c>
      <c r="B8" s="49">
        <f>J7</f>
        <v>310.92700000000002</v>
      </c>
      <c r="C8" s="50">
        <v>52839.072999999997</v>
      </c>
      <c r="D8" s="50">
        <v>600</v>
      </c>
      <c r="E8" s="36">
        <f>SUM(B8:D8)</f>
        <v>53750</v>
      </c>
      <c r="F8" s="50"/>
      <c r="G8" s="50">
        <v>39700</v>
      </c>
      <c r="H8" s="50">
        <v>13700</v>
      </c>
      <c r="I8" s="50">
        <f>E8-J8</f>
        <v>53400</v>
      </c>
      <c r="J8" s="50">
        <v>350</v>
      </c>
    </row>
    <row r="9" spans="1:12" ht="13.8">
      <c r="A9" s="18"/>
      <c r="B9" s="51"/>
      <c r="C9" s="51"/>
      <c r="D9" s="51"/>
      <c r="E9" s="51"/>
      <c r="F9" s="51"/>
      <c r="G9" s="50"/>
      <c r="H9" s="51"/>
      <c r="I9" s="51"/>
      <c r="J9" s="51"/>
    </row>
    <row r="10" spans="1:12" ht="13.8">
      <c r="A10" s="52" t="s">
        <v>34</v>
      </c>
      <c r="B10" s="53"/>
      <c r="C10" s="7"/>
      <c r="D10" s="7"/>
      <c r="E10" s="7"/>
      <c r="F10" s="7"/>
      <c r="G10" s="7"/>
      <c r="H10" s="7"/>
      <c r="I10" s="7"/>
      <c r="J10" s="7"/>
    </row>
    <row r="11" spans="1:12" ht="14.4">
      <c r="A11" s="22" t="s">
        <v>38</v>
      </c>
      <c r="B11" s="53">
        <v>341.33600000000001</v>
      </c>
      <c r="C11" s="7">
        <v>4615.5919999999996</v>
      </c>
      <c r="D11" s="7">
        <f>(63195.1*1.10231)/1000</f>
        <v>69.660590680999988</v>
      </c>
      <c r="E11" s="7">
        <f t="shared" ref="E11:E17" si="0">SUM(B11:D11)</f>
        <v>5026.5885906809999</v>
      </c>
      <c r="F11" s="6"/>
      <c r="G11" s="5">
        <f t="shared" ref="G11:G17" si="1">I11-H11</f>
        <v>3544.4687225500002</v>
      </c>
      <c r="H11" s="7">
        <f>(1005090.1*1.10231)/1000</f>
        <v>1107.9208681309999</v>
      </c>
      <c r="I11" s="6">
        <f t="shared" ref="I11:I17" si="2">E11-J11</f>
        <v>4652.3895906810003</v>
      </c>
      <c r="J11" s="6">
        <v>374.19900000000001</v>
      </c>
      <c r="K11" s="122"/>
      <c r="L11" s="129"/>
    </row>
    <row r="12" spans="1:12" ht="14.4">
      <c r="A12" s="22" t="s">
        <v>39</v>
      </c>
      <c r="B12" s="53">
        <f t="shared" ref="B12:B17" si="3">J11</f>
        <v>374.19900000000001</v>
      </c>
      <c r="C12" s="7">
        <v>4516.2939999999999</v>
      </c>
      <c r="D12" s="7">
        <f>(61179.8*1.10231)/1000</f>
        <v>67.43910533799999</v>
      </c>
      <c r="E12" s="7">
        <f t="shared" si="0"/>
        <v>4957.932105337999</v>
      </c>
      <c r="F12" s="6"/>
      <c r="G12" s="5">
        <f t="shared" si="1"/>
        <v>3222.3227419899986</v>
      </c>
      <c r="H12" s="7">
        <f>(1158650.8*1.10231)/1000</f>
        <v>1277.1923633480001</v>
      </c>
      <c r="I12" s="6">
        <f t="shared" si="2"/>
        <v>4499.5151053379986</v>
      </c>
      <c r="J12" s="6">
        <v>458.41699999999997</v>
      </c>
      <c r="K12" s="122"/>
      <c r="L12" s="129"/>
    </row>
    <row r="13" spans="1:12" ht="14.4">
      <c r="A13" s="22" t="s">
        <v>41</v>
      </c>
      <c r="B13" s="53">
        <f t="shared" si="3"/>
        <v>458.41699999999997</v>
      </c>
      <c r="C13" s="7">
        <v>4540.9309999999996</v>
      </c>
      <c r="D13" s="7">
        <f>(58497.8*1.10231)/1000</f>
        <v>64.482709917999998</v>
      </c>
      <c r="E13" s="7">
        <f t="shared" si="0"/>
        <v>5063.8307099180001</v>
      </c>
      <c r="F13" s="6"/>
      <c r="G13" s="5">
        <f t="shared" si="1"/>
        <v>3255.1817001230002</v>
      </c>
      <c r="H13" s="7">
        <f>(1314744.5*1.10231)/1000</f>
        <v>1449.256009795</v>
      </c>
      <c r="I13" s="6">
        <f t="shared" si="2"/>
        <v>4704.4377099180001</v>
      </c>
      <c r="J13" s="6">
        <v>359.39299999999997</v>
      </c>
      <c r="K13" s="122"/>
      <c r="L13" s="129"/>
    </row>
    <row r="14" spans="1:12" ht="14.4">
      <c r="A14" s="22" t="s">
        <v>42</v>
      </c>
      <c r="B14" s="53">
        <f t="shared" si="3"/>
        <v>359.39299999999997</v>
      </c>
      <c r="C14" s="7">
        <v>4665.6540000000005</v>
      </c>
      <c r="D14" s="7">
        <f>(62047.8*1.10231)/1000</f>
        <v>68.395910418</v>
      </c>
      <c r="E14" s="7">
        <f t="shared" si="0"/>
        <v>5093.4429104180008</v>
      </c>
      <c r="F14" s="6"/>
      <c r="G14" s="5">
        <f t="shared" si="1"/>
        <v>3127.8642276620008</v>
      </c>
      <c r="H14" s="7">
        <f>(1278927.6*1.10231)/1000</f>
        <v>1409.7746827559999</v>
      </c>
      <c r="I14" s="6">
        <f t="shared" si="2"/>
        <v>4537.6389104180007</v>
      </c>
      <c r="J14" s="6">
        <v>555.80399999999997</v>
      </c>
      <c r="K14" s="122"/>
      <c r="L14" s="129"/>
    </row>
    <row r="15" spans="1:12" ht="14.4">
      <c r="A15" s="22" t="s">
        <v>43</v>
      </c>
      <c r="B15" s="53">
        <f t="shared" si="3"/>
        <v>555.80399999999997</v>
      </c>
      <c r="C15" s="7">
        <v>3918.6709999999998</v>
      </c>
      <c r="D15" s="7">
        <f>(60890.6*1.10231)/1000</f>
        <v>67.120317285999988</v>
      </c>
      <c r="E15" s="7">
        <f t="shared" si="0"/>
        <v>4541.595317285999</v>
      </c>
      <c r="F15" s="6"/>
      <c r="G15" s="5">
        <f t="shared" si="1"/>
        <v>2672.9096129209993</v>
      </c>
      <c r="H15" s="7">
        <f>(1165391.5*1.10231)/1000</f>
        <v>1284.6227043649999</v>
      </c>
      <c r="I15" s="6">
        <f t="shared" si="2"/>
        <v>3957.5323172859989</v>
      </c>
      <c r="J15" s="6">
        <v>584.06299999999999</v>
      </c>
      <c r="K15" s="122"/>
      <c r="L15" s="129"/>
    </row>
    <row r="16" spans="1:12" ht="14.4">
      <c r="A16" s="22" t="s">
        <v>45</v>
      </c>
      <c r="B16" s="53">
        <f t="shared" si="3"/>
        <v>584.06299999999999</v>
      </c>
      <c r="C16" s="7">
        <v>4476.5870000000004</v>
      </c>
      <c r="D16" s="7">
        <f>(66438.8*1.10231)/1000</f>
        <v>73.236153627999997</v>
      </c>
      <c r="E16" s="7">
        <f t="shared" si="0"/>
        <v>5133.8861536280001</v>
      </c>
      <c r="F16" s="6"/>
      <c r="G16" s="5">
        <f t="shared" si="1"/>
        <v>3372.0660884400004</v>
      </c>
      <c r="H16" s="7">
        <f>(1192114.8*1.10231)/1000</f>
        <v>1314.0800651879999</v>
      </c>
      <c r="I16" s="6">
        <f t="shared" si="2"/>
        <v>4686.1461536280003</v>
      </c>
      <c r="J16" s="6">
        <v>447.74</v>
      </c>
      <c r="K16" s="122"/>
      <c r="L16" s="129"/>
    </row>
    <row r="17" spans="1:12" ht="14.4">
      <c r="A17" s="22" t="s">
        <v>46</v>
      </c>
      <c r="B17" s="53">
        <f t="shared" si="3"/>
        <v>447.74</v>
      </c>
      <c r="C17" s="7">
        <v>4044.7089999999998</v>
      </c>
      <c r="D17" s="7">
        <f>(61752.3*1.10231)/1000</f>
        <v>68.070177813000001</v>
      </c>
      <c r="E17" s="7">
        <f t="shared" si="0"/>
        <v>4560.5191778129993</v>
      </c>
      <c r="F17" s="6"/>
      <c r="G17" s="5">
        <f t="shared" si="1"/>
        <v>3053.2937507819988</v>
      </c>
      <c r="H17" s="7">
        <f>(957280.1*1.10231)/1000</f>
        <v>1055.2194270309999</v>
      </c>
      <c r="I17" s="6">
        <f t="shared" si="2"/>
        <v>4108.5131778129989</v>
      </c>
      <c r="J17" s="6">
        <v>452.00599999999997</v>
      </c>
      <c r="K17" s="122"/>
      <c r="L17" s="129"/>
    </row>
    <row r="18" spans="1:12" ht="14.4">
      <c r="A18" s="22" t="s">
        <v>47</v>
      </c>
      <c r="B18" s="53">
        <f t="shared" ref="B18" si="4">J17</f>
        <v>452.00599999999997</v>
      </c>
      <c r="C18" s="7">
        <v>4122.884</v>
      </c>
      <c r="D18" s="7">
        <f>(59445.5*1.10231)/1000</f>
        <v>65.527369104999991</v>
      </c>
      <c r="E18" s="7">
        <f>SUM(B18:D18)</f>
        <v>4640.417369105</v>
      </c>
      <c r="F18" s="6"/>
      <c r="G18" s="5">
        <f t="shared" ref="G18:G22" si="5">I18-H18</f>
        <v>2945.1746302230003</v>
      </c>
      <c r="H18" s="7">
        <f>(955982.2*1.10231)/1000</f>
        <v>1053.788738882</v>
      </c>
      <c r="I18" s="6">
        <f>E18-J18</f>
        <v>3998.9633691050003</v>
      </c>
      <c r="J18" s="6">
        <v>641.45399999999995</v>
      </c>
      <c r="K18" s="122"/>
      <c r="L18" s="129"/>
    </row>
    <row r="19" spans="1:12" ht="14.4">
      <c r="A19" s="22" t="s">
        <v>49</v>
      </c>
      <c r="B19" s="53">
        <f>J18</f>
        <v>641.45399999999995</v>
      </c>
      <c r="C19" s="7">
        <v>3833.951</v>
      </c>
      <c r="D19" s="7">
        <f>(57660*1.10231)/1000</f>
        <v>63.559194599999998</v>
      </c>
      <c r="E19" s="7">
        <f>SUM(B19:D19)</f>
        <v>4538.9641946000002</v>
      </c>
      <c r="F19" s="6"/>
      <c r="G19" s="5">
        <f t="shared" si="5"/>
        <v>3229.4212654980001</v>
      </c>
      <c r="H19" s="7">
        <f>(789744.2*1.10231)/1000</f>
        <v>870.5429291019999</v>
      </c>
      <c r="I19" s="6">
        <f>E19-J19</f>
        <v>4099.9641946000002</v>
      </c>
      <c r="J19" s="6">
        <v>439</v>
      </c>
      <c r="K19" s="122"/>
      <c r="L19" s="129"/>
    </row>
    <row r="20" spans="1:12" ht="14.4">
      <c r="A20" s="22" t="s">
        <v>50</v>
      </c>
      <c r="B20" s="53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2937.5170743940002</v>
      </c>
      <c r="H20" s="7">
        <f>(979606.2*1.10231)/1000</f>
        <v>1079.8297103219998</v>
      </c>
      <c r="I20" s="6">
        <f>E20-J20</f>
        <v>4017.346784716</v>
      </c>
      <c r="J20" s="6">
        <v>476.82600000000002</v>
      </c>
      <c r="K20" s="122"/>
      <c r="L20" s="129"/>
    </row>
    <row r="21" spans="1:12" ht="14.4">
      <c r="A21" s="22" t="s">
        <v>51</v>
      </c>
      <c r="B21" s="53">
        <f>J20</f>
        <v>476.82600000000002</v>
      </c>
      <c r="C21" s="7">
        <v>3995.2939999999999</v>
      </c>
      <c r="D21" s="7">
        <f>(42842.6*1.10231)/1000</f>
        <v>47.225826405999996</v>
      </c>
      <c r="E21" s="7">
        <f>SUM(B21:D21)</f>
        <v>4519.345826406</v>
      </c>
      <c r="F21" s="6"/>
      <c r="G21" s="5">
        <f t="shared" si="5"/>
        <v>3202.4835883550004</v>
      </c>
      <c r="H21" s="7">
        <f>(846722.1*1.10231)/1000</f>
        <v>933.35023805099991</v>
      </c>
      <c r="I21" s="6">
        <f>E21-J21</f>
        <v>4135.8338264060003</v>
      </c>
      <c r="J21" s="6">
        <v>383.512</v>
      </c>
      <c r="K21" s="122"/>
      <c r="L21" s="129"/>
    </row>
    <row r="22" spans="1:12" ht="14.4">
      <c r="A22" s="22" t="s">
        <v>37</v>
      </c>
      <c r="B22" s="53">
        <f>J21</f>
        <v>383.512</v>
      </c>
      <c r="C22" s="7">
        <v>3867.6509999999998</v>
      </c>
      <c r="D22" s="7">
        <f>(37258.1*1.10231)/1000</f>
        <v>41.069976210999997</v>
      </c>
      <c r="E22" s="7">
        <f>SUM(B22:D22)</f>
        <v>4292.2329762109994</v>
      </c>
      <c r="F22" s="6"/>
      <c r="G22" s="5">
        <f t="shared" si="5"/>
        <v>3111.6765739929992</v>
      </c>
      <c r="H22" s="7">
        <f>(761827.8*1.10231)/1000</f>
        <v>839.77040221800007</v>
      </c>
      <c r="I22" s="6">
        <f>E22-J22</f>
        <v>3951.4469762109993</v>
      </c>
      <c r="J22" s="6">
        <v>340.786</v>
      </c>
      <c r="K22" s="122"/>
      <c r="L22" s="129"/>
    </row>
    <row r="23" spans="1:12" ht="13.8">
      <c r="A23" s="22" t="s">
        <v>28</v>
      </c>
      <c r="B23" s="53"/>
      <c r="C23" s="7">
        <f>SUM(C11:C22)</f>
        <v>50564.716999999997</v>
      </c>
      <c r="D23" s="7">
        <f>(711660.4*1.10231)/1000</f>
        <v>784.47037552399991</v>
      </c>
      <c r="E23" s="7">
        <f>B11+C23+D23</f>
        <v>51690.523375523997</v>
      </c>
      <c r="F23" s="7"/>
      <c r="G23" s="7">
        <f>SUM(G11:G22)</f>
        <v>37674.379976930999</v>
      </c>
      <c r="H23" s="7">
        <f>(12406081.9*1.10231)/1000</f>
        <v>13675.348139189</v>
      </c>
      <c r="I23" s="7">
        <f>SUM(I11:I22)</f>
        <v>51349.728116120001</v>
      </c>
      <c r="J23" s="7"/>
    </row>
    <row r="24" spans="1:12" ht="13.8">
      <c r="A24" s="22"/>
      <c r="B24" s="53"/>
      <c r="C24" s="7"/>
      <c r="D24" s="7"/>
      <c r="E24" s="7"/>
      <c r="F24" s="7"/>
      <c r="G24" s="7"/>
      <c r="H24" s="7"/>
      <c r="I24" s="7"/>
      <c r="J24" s="7"/>
    </row>
    <row r="25" spans="1:12" ht="13.8">
      <c r="A25" s="52" t="s">
        <v>53</v>
      </c>
      <c r="B25" s="53"/>
      <c r="C25" s="7"/>
      <c r="D25" s="7"/>
      <c r="E25" s="7"/>
      <c r="F25" s="7"/>
      <c r="G25" s="7"/>
      <c r="H25" s="7"/>
      <c r="I25" s="7"/>
      <c r="J25" s="7"/>
    </row>
    <row r="26" spans="1:12" ht="14.4">
      <c r="A26" s="22" t="s">
        <v>38</v>
      </c>
      <c r="B26" s="53">
        <f>J22</f>
        <v>340.786</v>
      </c>
      <c r="C26" s="7">
        <v>4591.6390000000001</v>
      </c>
      <c r="D26" s="7">
        <f>(56544.8*1.10231)/1000</f>
        <v>62.329898487999998</v>
      </c>
      <c r="E26" s="7">
        <f t="shared" ref="E26:E37" si="6">SUM(B26:D26)</f>
        <v>4994.7548984880004</v>
      </c>
      <c r="F26" s="7"/>
      <c r="G26" s="7">
        <f t="shared" ref="G26:G37" si="7">I26-H26</f>
        <v>3492.8235415470008</v>
      </c>
      <c r="H26" s="7">
        <f>(989241.1*1.10231)/1000</f>
        <v>1090.4503569409999</v>
      </c>
      <c r="I26" s="6">
        <f t="shared" ref="I26:I37" si="8">E26-J26</f>
        <v>4583.2738984880007</v>
      </c>
      <c r="J26" s="7">
        <v>411.48099999999999</v>
      </c>
      <c r="K26" s="122"/>
      <c r="L26" s="129"/>
    </row>
    <row r="27" spans="1:12" ht="14.4">
      <c r="A27" s="22" t="s">
        <v>39</v>
      </c>
      <c r="B27" s="53">
        <f t="shared" ref="B27:B34" si="9">J26</f>
        <v>411.48099999999999</v>
      </c>
      <c r="C27" s="7">
        <v>4456.7700000000004</v>
      </c>
      <c r="D27" s="7">
        <f>(33725.3*1.10231)/1000</f>
        <v>37.175735443000001</v>
      </c>
      <c r="E27" s="7">
        <f t="shared" si="6"/>
        <v>4905.4267354430003</v>
      </c>
      <c r="F27" s="7"/>
      <c r="G27" s="7">
        <f t="shared" si="7"/>
        <v>3282.1204081570004</v>
      </c>
      <c r="H27" s="7">
        <f>(1131890.6*1.10231)/1000</f>
        <v>1247.6943272859999</v>
      </c>
      <c r="I27" s="6">
        <f t="shared" si="8"/>
        <v>4529.8147354430002</v>
      </c>
      <c r="J27" s="7">
        <v>375.61200000000002</v>
      </c>
      <c r="K27" s="122"/>
      <c r="L27" s="129"/>
    </row>
    <row r="28" spans="1:12" ht="14.4">
      <c r="A28" s="22" t="s">
        <v>41</v>
      </c>
      <c r="B28" s="53">
        <f t="shared" si="9"/>
        <v>375.61200000000002</v>
      </c>
      <c r="C28" s="7">
        <v>4629.5519999999997</v>
      </c>
      <c r="D28" s="7">
        <f>(33571.6*1.10231)/1000</f>
        <v>37.006310395999996</v>
      </c>
      <c r="E28" s="7">
        <f t="shared" si="6"/>
        <v>5042.1703103959999</v>
      </c>
      <c r="F28" s="7"/>
      <c r="G28" s="7">
        <f t="shared" si="7"/>
        <v>3224.487584683</v>
      </c>
      <c r="H28" s="7">
        <f>(1275842.3*1.10231)/1000</f>
        <v>1406.3737257129999</v>
      </c>
      <c r="I28" s="6">
        <f t="shared" si="8"/>
        <v>4630.8613103959997</v>
      </c>
      <c r="J28" s="7">
        <v>411.30900000000003</v>
      </c>
      <c r="K28" s="122"/>
      <c r="L28" s="129"/>
    </row>
    <row r="29" spans="1:12" ht="14.4">
      <c r="A29" s="22" t="s">
        <v>42</v>
      </c>
      <c r="B29" s="53">
        <f t="shared" si="9"/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22"/>
      <c r="L29" s="129"/>
    </row>
    <row r="30" spans="1:12" ht="14.4">
      <c r="A30" s="22" t="s">
        <v>43</v>
      </c>
      <c r="B30" s="53">
        <f t="shared" si="9"/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22"/>
      <c r="L30" s="129"/>
    </row>
    <row r="31" spans="1:12" ht="14.4">
      <c r="A31" s="22" t="s">
        <v>45</v>
      </c>
      <c r="B31" s="53">
        <f t="shared" si="9"/>
        <v>385.87599999999998</v>
      </c>
      <c r="C31" s="7">
        <v>4549.6310000000003</v>
      </c>
      <c r="D31" s="7">
        <f>(36598.4*1.10231)/1000</f>
        <v>40.342782304000004</v>
      </c>
      <c r="E31" s="7">
        <f t="shared" si="6"/>
        <v>4975.8497823040007</v>
      </c>
      <c r="F31" s="7"/>
      <c r="G31" s="7">
        <f t="shared" si="7"/>
        <v>3397.5364563470011</v>
      </c>
      <c r="H31" s="7">
        <f>(1086214.7*1.10231)/1000</f>
        <v>1197.3453259569999</v>
      </c>
      <c r="I31" s="6">
        <f t="shared" si="8"/>
        <v>4594.8817823040008</v>
      </c>
      <c r="J31" s="7">
        <v>380.96800000000002</v>
      </c>
      <c r="K31" s="122"/>
      <c r="L31" s="129"/>
    </row>
    <row r="32" spans="1:12" ht="14.4">
      <c r="A32" s="22" t="s">
        <v>46</v>
      </c>
      <c r="B32" s="53">
        <f t="shared" si="9"/>
        <v>380.96800000000002</v>
      </c>
      <c r="C32" s="7">
        <v>4254.5450000000001</v>
      </c>
      <c r="D32" s="7">
        <f>(55089.9*1.10231)/1000</f>
        <v>60.726147668999999</v>
      </c>
      <c r="E32" s="7">
        <f t="shared" si="6"/>
        <v>4696.239147669</v>
      </c>
      <c r="F32" s="7"/>
      <c r="G32" s="7">
        <f t="shared" si="7"/>
        <v>3065.5731103500002</v>
      </c>
      <c r="H32" s="7">
        <f>(1075604.9*1.10231)/1000</f>
        <v>1185.6500373189999</v>
      </c>
      <c r="I32" s="6">
        <f t="shared" si="8"/>
        <v>4251.2231476690004</v>
      </c>
      <c r="J32" s="7">
        <v>445.01600000000002</v>
      </c>
      <c r="K32" s="122"/>
      <c r="L32" s="129"/>
    </row>
    <row r="33" spans="1:12" ht="14.4">
      <c r="A33" s="22" t="s">
        <v>47</v>
      </c>
      <c r="B33" s="53">
        <f t="shared" si="9"/>
        <v>445.01600000000002</v>
      </c>
      <c r="C33" s="7">
        <v>4260.0889999999999</v>
      </c>
      <c r="D33" s="130">
        <f>(66198.8*1.10231)/1000</f>
        <v>72.971599227999988</v>
      </c>
      <c r="E33" s="7">
        <f t="shared" si="6"/>
        <v>4778.0765992279994</v>
      </c>
      <c r="F33" s="7"/>
      <c r="G33" s="7">
        <f t="shared" si="7"/>
        <v>3171.9378907949995</v>
      </c>
      <c r="H33" s="130">
        <f>(1036354.3*1.10231)/1000</f>
        <v>1142.3837084329998</v>
      </c>
      <c r="I33" s="6">
        <f t="shared" si="8"/>
        <v>4314.3215992279993</v>
      </c>
      <c r="J33" s="7">
        <v>463.755</v>
      </c>
      <c r="K33" s="122"/>
      <c r="L33" s="129"/>
    </row>
    <row r="34" spans="1:12" ht="14.4">
      <c r="A34" s="22" t="s">
        <v>49</v>
      </c>
      <c r="B34" s="53">
        <f t="shared" si="9"/>
        <v>463.755</v>
      </c>
      <c r="C34" s="7">
        <v>4106.5650000000005</v>
      </c>
      <c r="D34" s="130">
        <f>(56052.6*1.10231)/1000</f>
        <v>61.78734150599999</v>
      </c>
      <c r="E34" s="7">
        <f t="shared" si="6"/>
        <v>4632.1073415060009</v>
      </c>
      <c r="F34" s="7"/>
      <c r="G34" s="7">
        <f t="shared" si="7"/>
        <v>3129.3458416380008</v>
      </c>
      <c r="H34" s="130">
        <f>(1039142.8*1.10231)/1000</f>
        <v>1145.457499868</v>
      </c>
      <c r="I34" s="6">
        <f t="shared" si="8"/>
        <v>4274.8033415060008</v>
      </c>
      <c r="J34" s="7">
        <v>357.30399999999997</v>
      </c>
      <c r="K34" s="122"/>
      <c r="L34"/>
    </row>
    <row r="35" spans="1:12" ht="14.4">
      <c r="A35" s="22" t="s">
        <v>50</v>
      </c>
      <c r="B35" s="53">
        <f>J34</f>
        <v>357.30399999999997</v>
      </c>
      <c r="C35" s="7">
        <v>4266.3760000000002</v>
      </c>
      <c r="D35" s="130">
        <f>(67390*1.10231)/1000</f>
        <v>74.284670899999995</v>
      </c>
      <c r="E35" s="7">
        <f t="shared" si="6"/>
        <v>4697.9646708999999</v>
      </c>
      <c r="F35" s="7"/>
      <c r="G35" s="7">
        <f t="shared" si="7"/>
        <v>3259.8698691549998</v>
      </c>
      <c r="H35" s="130">
        <f>(829589.5*1.10231)/1000</f>
        <v>914.46480174499993</v>
      </c>
      <c r="I35" s="6">
        <f t="shared" si="8"/>
        <v>4174.3346708999998</v>
      </c>
      <c r="J35" s="7">
        <v>523.63</v>
      </c>
      <c r="K35" s="122"/>
      <c r="L35"/>
    </row>
    <row r="36" spans="1:12" ht="14.4">
      <c r="A36" s="22" t="s">
        <v>51</v>
      </c>
      <c r="B36" s="53">
        <f>J35</f>
        <v>523.63</v>
      </c>
      <c r="C36" s="7">
        <v>4147.2370000000001</v>
      </c>
      <c r="D36" s="130">
        <f>(45618.3*1.10231)/1000</f>
        <v>50.285508272999998</v>
      </c>
      <c r="E36" s="7">
        <f t="shared" si="6"/>
        <v>4721.1525082730004</v>
      </c>
      <c r="F36" s="7"/>
      <c r="G36" s="7">
        <f t="shared" si="7"/>
        <v>3460.3667325930005</v>
      </c>
      <c r="H36" s="130">
        <f>(828128*1.10231)/1000</f>
        <v>912.85377568000001</v>
      </c>
      <c r="I36" s="6">
        <f t="shared" si="8"/>
        <v>4373.2205082730006</v>
      </c>
      <c r="J36" s="7">
        <v>347.93200000000002</v>
      </c>
      <c r="K36" s="122"/>
      <c r="L36"/>
    </row>
    <row r="37" spans="1:12" ht="14.4">
      <c r="A37" s="22" t="s">
        <v>37</v>
      </c>
      <c r="B37" s="53">
        <f>J36</f>
        <v>347.93200000000002</v>
      </c>
      <c r="C37" s="7">
        <v>3925.0389999999998</v>
      </c>
      <c r="D37" s="130">
        <f>(51133.2*1.10231)/1000</f>
        <v>56.364637691999988</v>
      </c>
      <c r="E37" s="7">
        <f t="shared" si="6"/>
        <v>4329.3356376919992</v>
      </c>
      <c r="F37" s="7"/>
      <c r="G37" s="7">
        <f t="shared" si="7"/>
        <v>3117.482517597999</v>
      </c>
      <c r="H37" s="130">
        <f>(817307.4*1.10231)/1000</f>
        <v>900.92612009399988</v>
      </c>
      <c r="I37" s="6">
        <f t="shared" si="8"/>
        <v>4018.408637691999</v>
      </c>
      <c r="J37" s="7">
        <v>310.92700000000002</v>
      </c>
      <c r="K37" s="122"/>
      <c r="L37"/>
    </row>
    <row r="38" spans="1:12" ht="14.4">
      <c r="A38" s="16" t="s">
        <v>28</v>
      </c>
      <c r="B38" s="54"/>
      <c r="C38" s="45">
        <f>SUM(C26:C37)</f>
        <v>51810.551000000007</v>
      </c>
      <c r="D38" s="45">
        <f>(588867.9*1.10231)/1000</f>
        <v>649.11497484899996</v>
      </c>
      <c r="E38" s="45">
        <f>B26+C38+D38</f>
        <v>52800.451974849006</v>
      </c>
      <c r="F38" s="45"/>
      <c r="G38" s="45">
        <f>SUM(G26:G37)</f>
        <v>38965.713926673008</v>
      </c>
      <c r="H38" s="45">
        <f>(12268609.6*1.10231)/1000</f>
        <v>13523.811048175998</v>
      </c>
      <c r="I38" s="45">
        <f>SUM(I26:I37)</f>
        <v>52489.52497484901</v>
      </c>
      <c r="J38" s="45"/>
      <c r="K38" s="122"/>
      <c r="L38"/>
    </row>
    <row r="39" spans="1:12" ht="16.2">
      <c r="A39" s="55" t="s">
        <v>67</v>
      </c>
      <c r="B39" s="18"/>
      <c r="C39" s="18"/>
      <c r="D39" s="18"/>
      <c r="E39" s="18"/>
      <c r="F39" s="18"/>
      <c r="G39" s="18"/>
      <c r="H39" s="18"/>
      <c r="I39" s="18"/>
      <c r="J39" s="18"/>
    </row>
    <row r="40" spans="1:12" ht="14.4">
      <c r="A40" s="18" t="s">
        <v>68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2" ht="13.8">
      <c r="A41" s="24" t="s">
        <v>56</v>
      </c>
      <c r="B41" s="47">
        <f>Contents!A16</f>
        <v>44879</v>
      </c>
      <c r="C41" s="43"/>
      <c r="D41" s="37"/>
      <c r="E41" s="37"/>
      <c r="F41" s="37"/>
      <c r="G41" s="37"/>
      <c r="H41" s="37"/>
      <c r="I41" s="37"/>
      <c r="J41" s="37"/>
    </row>
    <row r="42" spans="1:12">
      <c r="A42" s="56"/>
      <c r="B42" s="57"/>
      <c r="C42" s="58"/>
      <c r="D42" s="57"/>
      <c r="E42" s="116"/>
      <c r="F42" s="57"/>
      <c r="G42" s="57"/>
      <c r="H42" s="59"/>
      <c r="I42" s="116"/>
      <c r="J42" s="57"/>
    </row>
    <row r="43" spans="1:12">
      <c r="A43" s="56"/>
      <c r="B43" s="57"/>
      <c r="C43" s="57"/>
      <c r="D43" s="57"/>
      <c r="E43" s="57"/>
      <c r="F43" s="57"/>
      <c r="G43" s="57"/>
      <c r="H43" s="57"/>
      <c r="I43" s="57"/>
      <c r="J43" s="57"/>
    </row>
    <row r="44" spans="1:12">
      <c r="A44" s="56"/>
      <c r="B44" s="56"/>
      <c r="C44" s="56"/>
      <c r="D44" s="56"/>
      <c r="E44" s="56"/>
      <c r="F44" s="56"/>
      <c r="G44" s="56"/>
      <c r="H44" s="56"/>
      <c r="I44" s="56"/>
      <c r="J44" s="56"/>
    </row>
    <row r="45" spans="1:12">
      <c r="A45" s="56"/>
      <c r="B45" s="56"/>
      <c r="C45" s="56"/>
      <c r="D45" s="56"/>
      <c r="E45" s="56"/>
      <c r="F45" s="56"/>
      <c r="G45" s="56"/>
      <c r="H45" s="56"/>
      <c r="I45" s="56"/>
      <c r="J45" s="56"/>
    </row>
  </sheetData>
  <mergeCells count="3">
    <mergeCell ref="G2:I2"/>
    <mergeCell ref="B5:J5"/>
    <mergeCell ref="B2:E2"/>
  </mergeCells>
  <phoneticPr fontId="19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42"/>
  <sheetViews>
    <sheetView showGridLines="0" zoomScale="70" zoomScaleNormal="70" workbookViewId="0">
      <selection activeCell="J8" sqref="J8"/>
    </sheetView>
  </sheetViews>
  <sheetFormatPr defaultColWidth="9.109375" defaultRowHeight="13.2"/>
  <cols>
    <col min="1" max="1" width="15.44140625" style="17" customWidth="1"/>
    <col min="2" max="2" width="12.33203125" style="17" bestFit="1" customWidth="1"/>
    <col min="3" max="3" width="12.109375" style="17" bestFit="1" customWidth="1"/>
    <col min="4" max="4" width="11" style="17" bestFit="1" customWidth="1"/>
    <col min="5" max="5" width="11.33203125" style="17" bestFit="1" customWidth="1"/>
    <col min="6" max="6" width="3.6640625" style="17" customWidth="1"/>
    <col min="7" max="7" width="11.5546875" style="17" bestFit="1" customWidth="1"/>
    <col min="8" max="8" width="10.6640625" style="17" customWidth="1"/>
    <col min="9" max="9" width="12.6640625" style="17" customWidth="1"/>
    <col min="10" max="10" width="9.6640625" style="17" bestFit="1" customWidth="1"/>
    <col min="11" max="11" width="11.5546875" style="17" bestFit="1" customWidth="1"/>
    <col min="12" max="12" width="12.5546875" style="17" bestFit="1" customWidth="1"/>
    <col min="13" max="13" width="9.109375" style="17"/>
    <col min="14" max="14" width="11.109375" style="17" customWidth="1"/>
    <col min="15" max="16384" width="9.109375" style="17"/>
  </cols>
  <sheetData>
    <row r="1" spans="1:14" ht="13.8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13.8">
      <c r="A2" s="18"/>
      <c r="B2" s="167" t="s">
        <v>57</v>
      </c>
      <c r="C2" s="167"/>
      <c r="D2" s="167"/>
      <c r="E2" s="167"/>
      <c r="F2" s="22"/>
      <c r="G2" s="167" t="s">
        <v>58</v>
      </c>
      <c r="H2" s="167"/>
      <c r="I2" s="167"/>
      <c r="J2" s="139"/>
      <c r="K2" s="139"/>
      <c r="L2" s="18"/>
    </row>
    <row r="3" spans="1:14" ht="13.8">
      <c r="A3" s="18" t="s">
        <v>17</v>
      </c>
      <c r="B3" s="20" t="s">
        <v>69</v>
      </c>
      <c r="C3" s="39" t="s">
        <v>26</v>
      </c>
      <c r="D3" s="39" t="s">
        <v>70</v>
      </c>
      <c r="E3" s="39" t="s">
        <v>62</v>
      </c>
      <c r="F3" s="39"/>
      <c r="G3" s="139" t="s">
        <v>63</v>
      </c>
      <c r="H3" s="139"/>
      <c r="I3" s="139"/>
      <c r="J3" s="39" t="s">
        <v>71</v>
      </c>
      <c r="K3" s="39" t="s">
        <v>62</v>
      </c>
      <c r="L3" s="39" t="s">
        <v>59</v>
      </c>
    </row>
    <row r="4" spans="1:14" ht="16.2">
      <c r="A4" s="25" t="s">
        <v>60</v>
      </c>
      <c r="B4" s="27" t="s">
        <v>61</v>
      </c>
      <c r="C4" s="28"/>
      <c r="D4" s="28"/>
      <c r="E4" s="28"/>
      <c r="F4" s="28"/>
      <c r="G4" s="27" t="s">
        <v>28</v>
      </c>
      <c r="H4" s="27" t="s">
        <v>72</v>
      </c>
      <c r="I4" s="27" t="s">
        <v>73</v>
      </c>
      <c r="J4" s="28"/>
      <c r="K4" s="28"/>
      <c r="L4" s="39" t="s">
        <v>65</v>
      </c>
    </row>
    <row r="5" spans="1:14" ht="14.4">
      <c r="A5" s="18"/>
      <c r="B5" s="169" t="s">
        <v>74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4" ht="13.8">
      <c r="A6" s="18" t="s">
        <v>34</v>
      </c>
      <c r="B6" s="51">
        <v>1852.675</v>
      </c>
      <c r="C6" s="51">
        <f>C23</f>
        <v>25022.667000000001</v>
      </c>
      <c r="D6" s="51">
        <f>D23</f>
        <v>301.5817074144</v>
      </c>
      <c r="E6" s="51">
        <f>E23</f>
        <v>27176.9237074144</v>
      </c>
      <c r="F6" s="51"/>
      <c r="G6" s="51">
        <f>G23</f>
        <v>23314.331825683603</v>
      </c>
      <c r="H6" s="51">
        <f t="shared" ref="H6:J6" si="0">H23</f>
        <v>8920.4621000000006</v>
      </c>
      <c r="I6" s="36">
        <f t="shared" si="0"/>
        <v>14393.8697256836</v>
      </c>
      <c r="J6" s="51">
        <f t="shared" si="0"/>
        <v>1731.3586612685999</v>
      </c>
      <c r="K6" s="51">
        <f>E6-L6</f>
        <v>25045.6907074144</v>
      </c>
      <c r="L6" s="51">
        <f>L22</f>
        <v>2131.2330000000002</v>
      </c>
      <c r="M6" s="111"/>
    </row>
    <row r="7" spans="1:14" ht="16.2">
      <c r="A7" s="18" t="s">
        <v>35</v>
      </c>
      <c r="B7" s="51">
        <f>L6</f>
        <v>2131.2330000000002</v>
      </c>
      <c r="C7" s="51">
        <f>C38</f>
        <v>26143.213000000003</v>
      </c>
      <c r="D7" s="51">
        <f>D38</f>
        <v>303.28830530459993</v>
      </c>
      <c r="E7" s="51">
        <f>E38</f>
        <v>28577.734305304602</v>
      </c>
      <c r="F7" s="51"/>
      <c r="G7" s="51">
        <f>K7-J7</f>
        <v>24804.853173753603</v>
      </c>
      <c r="H7" s="51">
        <v>10350</v>
      </c>
      <c r="I7" s="36">
        <f>G7-H7</f>
        <v>14454.853173753603</v>
      </c>
      <c r="J7" s="51">
        <f>J38</f>
        <v>1773.4431315509999</v>
      </c>
      <c r="K7" s="51">
        <f>E7-L7</f>
        <v>26578.296305304604</v>
      </c>
      <c r="L7" s="51">
        <f>L37</f>
        <v>1999.4380000000001</v>
      </c>
    </row>
    <row r="8" spans="1:14" ht="16.2">
      <c r="A8" s="18" t="s">
        <v>36</v>
      </c>
      <c r="B8" s="51">
        <f>L7</f>
        <v>1999.4380000000001</v>
      </c>
      <c r="C8" s="51">
        <v>26310</v>
      </c>
      <c r="D8" s="51">
        <v>500</v>
      </c>
      <c r="E8" s="51">
        <f>SUM(B8:D8)</f>
        <v>28809.438000000002</v>
      </c>
      <c r="F8" s="51"/>
      <c r="G8" s="51">
        <f>K8-J8</f>
        <v>25650.438000000002</v>
      </c>
      <c r="H8" s="51">
        <v>11800</v>
      </c>
      <c r="I8" s="36">
        <f>G8-H8</f>
        <v>13850.438000000002</v>
      </c>
      <c r="J8" s="51">
        <v>1300</v>
      </c>
      <c r="K8" s="51">
        <f>E8-L8</f>
        <v>26950.438000000002</v>
      </c>
      <c r="L8" s="51">
        <v>1859</v>
      </c>
    </row>
    <row r="9" spans="1:14" ht="13.8">
      <c r="A9" s="18"/>
      <c r="B9" s="51"/>
      <c r="C9" s="51"/>
      <c r="D9" s="51"/>
      <c r="E9" s="51"/>
      <c r="F9" s="51"/>
      <c r="G9" s="51"/>
      <c r="H9" s="51"/>
      <c r="I9" s="112"/>
      <c r="J9" s="51"/>
      <c r="K9" s="51"/>
      <c r="L9" s="51"/>
    </row>
    <row r="10" spans="1:14" ht="13.8">
      <c r="A10" s="40" t="s">
        <v>34</v>
      </c>
      <c r="B10" s="60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4" ht="13.8">
      <c r="A11" s="22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  <c r="N11" s="129"/>
    </row>
    <row r="12" spans="1:14" ht="13.8">
      <c r="A12" s="22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1902.0001620059995</v>
      </c>
      <c r="H12" s="7">
        <v>753.16669999999999</v>
      </c>
      <c r="I12" s="7">
        <f t="shared" si="3"/>
        <v>1148.8334620059995</v>
      </c>
      <c r="J12" s="7">
        <f>(80211.1*2204.622)/1000000</f>
        <v>176.83515570419999</v>
      </c>
      <c r="K12" s="7">
        <f t="shared" si="4"/>
        <v>2078.8353177101994</v>
      </c>
      <c r="L12" s="6">
        <v>2117.0970000000002</v>
      </c>
      <c r="N12" s="129"/>
    </row>
    <row r="13" spans="1:14" ht="13.8">
      <c r="A13" s="22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2030.3938453386002</v>
      </c>
      <c r="H13" s="7">
        <v>814.16669999999999</v>
      </c>
      <c r="I13" s="7">
        <f t="shared" si="3"/>
        <v>1216.2271453386002</v>
      </c>
      <c r="J13" s="7">
        <f>(106438.1*2204.622)/1000000</f>
        <v>234.6557768982</v>
      </c>
      <c r="K13" s="7">
        <f t="shared" si="4"/>
        <v>2265.0496222368001</v>
      </c>
      <c r="L13" s="6">
        <v>2110.7860000000001</v>
      </c>
      <c r="N13" s="129"/>
    </row>
    <row r="14" spans="1:14" ht="13.8">
      <c r="A14" s="22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1804.7204637692003</v>
      </c>
      <c r="H14" s="7">
        <v>682.77</v>
      </c>
      <c r="I14" s="7">
        <f t="shared" si="3"/>
        <v>1121.9504637692003</v>
      </c>
      <c r="J14" s="7">
        <f>(148690.9*2204.622)/1000000</f>
        <v>327.80722933979996</v>
      </c>
      <c r="K14" s="7">
        <f t="shared" si="4"/>
        <v>2132.5276931090002</v>
      </c>
      <c r="L14" s="6">
        <v>2305.991</v>
      </c>
      <c r="N14" s="129"/>
    </row>
    <row r="15" spans="1:14" ht="13.8">
      <c r="A15" s="22" t="s">
        <v>43</v>
      </c>
      <c r="B15" s="6">
        <f t="shared" si="5"/>
        <v>2305.991</v>
      </c>
      <c r="C15" s="7">
        <v>1924.749</v>
      </c>
      <c r="D15" s="7">
        <f>(9688.5*2204.622)/1000000</f>
        <v>21.359480246999997</v>
      </c>
      <c r="E15" s="7">
        <f t="shared" si="1"/>
        <v>4252.0994802469995</v>
      </c>
      <c r="F15" s="6"/>
      <c r="G15" s="6">
        <f t="shared" si="2"/>
        <v>1691.0133458537998</v>
      </c>
      <c r="H15" s="7">
        <v>552.50900000000001</v>
      </c>
      <c r="I15" s="7">
        <f t="shared" si="3"/>
        <v>1138.5043458537998</v>
      </c>
      <c r="J15" s="7">
        <f>(115710.6*2204.622)/1000000</f>
        <v>255.09813439319998</v>
      </c>
      <c r="K15" s="7">
        <f t="shared" si="4"/>
        <v>1946.1114802469997</v>
      </c>
      <c r="L15" s="6">
        <v>2305.9879999999998</v>
      </c>
      <c r="N15" s="129"/>
    </row>
    <row r="16" spans="1:14" ht="13.8">
      <c r="A16" s="22" t="s">
        <v>45</v>
      </c>
      <c r="B16" s="6">
        <f t="shared" si="5"/>
        <v>2305.9879999999998</v>
      </c>
      <c r="C16" s="7">
        <v>2222.123</v>
      </c>
      <c r="D16" s="7">
        <f>(9723.5*2204.622)/1000000</f>
        <v>21.436642016999997</v>
      </c>
      <c r="E16" s="7">
        <f t="shared" si="1"/>
        <v>4549.5476420169998</v>
      </c>
      <c r="F16" s="6"/>
      <c r="G16" s="6">
        <f t="shared" si="2"/>
        <v>2147.7624239259999</v>
      </c>
      <c r="H16" s="7">
        <v>748.81299999999999</v>
      </c>
      <c r="I16" s="7">
        <f t="shared" si="3"/>
        <v>1398.9494239259998</v>
      </c>
      <c r="J16" s="7">
        <f>(70990.5*2204.622)/1000000</f>
        <v>156.507218091</v>
      </c>
      <c r="K16" s="7">
        <f t="shared" si="4"/>
        <v>2304.269642017</v>
      </c>
      <c r="L16" s="6">
        <v>2245.2779999999998</v>
      </c>
      <c r="N16" s="129"/>
    </row>
    <row r="17" spans="1:14" ht="13.8">
      <c r="A17" s="22" t="s">
        <v>46</v>
      </c>
      <c r="B17" s="6">
        <f t="shared" si="5"/>
        <v>2245.2779999999998</v>
      </c>
      <c r="C17" s="7">
        <v>1991.877</v>
      </c>
      <c r="D17" s="7">
        <f>(9272.8*2204.622)/1000000</f>
        <v>20.443018881599997</v>
      </c>
      <c r="E17" s="7">
        <f t="shared" si="1"/>
        <v>4257.5980188816002</v>
      </c>
      <c r="F17" s="6"/>
      <c r="G17" s="6">
        <f t="shared" si="2"/>
        <v>1950.4267469655999</v>
      </c>
      <c r="H17" s="7">
        <v>699.93299999999999</v>
      </c>
      <c r="I17" s="7">
        <f t="shared" ref="I17:I22" si="6">G17-H17</f>
        <v>1250.4937469655999</v>
      </c>
      <c r="J17" s="7">
        <f>(58778*2204.622)/1000000</f>
        <v>129.583271916</v>
      </c>
      <c r="K17" s="7">
        <f t="shared" si="4"/>
        <v>2080.0100188816</v>
      </c>
      <c r="L17" s="6">
        <v>2177.5880000000002</v>
      </c>
      <c r="N17" s="129"/>
    </row>
    <row r="18" spans="1:14" ht="13.8">
      <c r="A18" s="22" t="s">
        <v>47</v>
      </c>
      <c r="B18" s="6">
        <f t="shared" ref="B18" si="7">L17</f>
        <v>2177.5880000000002</v>
      </c>
      <c r="C18" s="7">
        <v>2043.135</v>
      </c>
      <c r="D18" s="7">
        <f>(7432*2204.622)/1000000</f>
        <v>16.384750703999998</v>
      </c>
      <c r="E18" s="7">
        <f t="shared" ref="E18:E22" si="8">SUM(B18:D18)</f>
        <v>4237.107750704</v>
      </c>
      <c r="F18" s="6"/>
      <c r="G18" s="6">
        <f>K18-J18</f>
        <v>2018.9865195630002</v>
      </c>
      <c r="H18" s="7">
        <v>785.91399999999999</v>
      </c>
      <c r="I18" s="7">
        <f t="shared" si="6"/>
        <v>1233.0725195630002</v>
      </c>
      <c r="J18" s="7">
        <f>(32265.5*2204.622)/1000000</f>
        <v>71.133231140999982</v>
      </c>
      <c r="K18" s="7">
        <f>E18-L18</f>
        <v>2090.1197507040001</v>
      </c>
      <c r="L18" s="6">
        <v>2146.9879999999998</v>
      </c>
      <c r="N18" s="129"/>
    </row>
    <row r="19" spans="1:14" ht="13.8">
      <c r="A19" s="22" t="s">
        <v>49</v>
      </c>
      <c r="B19" s="6">
        <f>L18</f>
        <v>2146.9879999999998</v>
      </c>
      <c r="C19" s="7">
        <v>1908.6489999999999</v>
      </c>
      <c r="D19" s="7">
        <f>(11856.9*2204.622)/1000000</f>
        <v>26.139982591799996</v>
      </c>
      <c r="E19" s="7">
        <f t="shared" si="8"/>
        <v>4081.7769825917999</v>
      </c>
      <c r="F19" s="6"/>
      <c r="G19" s="6">
        <f>K19-J19</f>
        <v>1889.5118995415999</v>
      </c>
      <c r="H19" s="7">
        <v>679.98199999999997</v>
      </c>
      <c r="I19" s="7">
        <f t="shared" si="6"/>
        <v>1209.5298995415999</v>
      </c>
      <c r="J19" s="7">
        <f>(41554.1*2204.622)/1000000</f>
        <v>91.61108305019998</v>
      </c>
      <c r="K19" s="7">
        <f>E19-L19</f>
        <v>1981.1229825917999</v>
      </c>
      <c r="L19" s="6">
        <v>2100.654</v>
      </c>
      <c r="N19" s="129"/>
    </row>
    <row r="20" spans="1:14" ht="13.8">
      <c r="A20" s="22" t="s">
        <v>50</v>
      </c>
      <c r="B20" s="6">
        <f>L19</f>
        <v>2100.654</v>
      </c>
      <c r="C20" s="7">
        <v>1972.6880000000001</v>
      </c>
      <c r="D20" s="7">
        <f>(14747.8*2204.622)/1000000</f>
        <v>32.513324331599996</v>
      </c>
      <c r="E20" s="7">
        <f t="shared" si="8"/>
        <v>4105.8553243316001</v>
      </c>
      <c r="F20" s="6"/>
      <c r="G20" s="6">
        <f>K20-J20</f>
        <v>2005.5471758732001</v>
      </c>
      <c r="H20" s="7">
        <v>807.96799999999996</v>
      </c>
      <c r="I20" s="7">
        <f t="shared" si="6"/>
        <v>1197.5791758732003</v>
      </c>
      <c r="J20" s="7">
        <f>(13697.2*2204.622)/1000000</f>
        <v>30.197148458400001</v>
      </c>
      <c r="K20" s="7">
        <f>E20-L20</f>
        <v>2035.7443243316002</v>
      </c>
      <c r="L20" s="6">
        <v>2070.1109999999999</v>
      </c>
      <c r="N20" s="129"/>
    </row>
    <row r="21" spans="1:14" ht="13.8">
      <c r="A21" s="22" t="s">
        <v>51</v>
      </c>
      <c r="B21" s="6">
        <f>L20</f>
        <v>2070.1109999999999</v>
      </c>
      <c r="C21" s="7">
        <v>1989.7329999999999</v>
      </c>
      <c r="D21" s="7">
        <f>(19314.2*2204.622)/1000000</f>
        <v>42.580510232400002</v>
      </c>
      <c r="E21" s="7">
        <f t="shared" si="8"/>
        <v>4102.4245102324003</v>
      </c>
      <c r="F21" s="6"/>
      <c r="G21" s="6">
        <f>K21-J21</f>
        <v>1880.2042092524005</v>
      </c>
      <c r="H21" s="7">
        <v>822.94799999999998</v>
      </c>
      <c r="I21" s="7">
        <f t="shared" si="6"/>
        <v>1057.2562092524004</v>
      </c>
      <c r="J21" s="7">
        <f>(17590*2204.622)/1000000</f>
        <v>38.779300979999995</v>
      </c>
      <c r="K21" s="7">
        <f>E21-L21</f>
        <v>1918.9835102324005</v>
      </c>
      <c r="L21" s="6">
        <v>2183.4409999999998</v>
      </c>
      <c r="N21" s="129"/>
    </row>
    <row r="22" spans="1:14" ht="13.8">
      <c r="A22" s="22" t="s">
        <v>37</v>
      </c>
      <c r="B22" s="6">
        <f>L21</f>
        <v>2183.4409999999998</v>
      </c>
      <c r="C22" s="7">
        <v>1938.212</v>
      </c>
      <c r="D22" s="7">
        <f>(15831.8*2204.622)/1000000</f>
        <v>34.9031345796</v>
      </c>
      <c r="E22" s="7">
        <f t="shared" si="8"/>
        <v>4156.5561345796004</v>
      </c>
      <c r="F22" s="6"/>
      <c r="G22" s="6">
        <f>K22-J22</f>
        <v>1991.4559518778003</v>
      </c>
      <c r="H22" s="7">
        <v>779.125</v>
      </c>
      <c r="I22" s="7">
        <f t="shared" si="6"/>
        <v>1212.3309518778003</v>
      </c>
      <c r="J22" s="7">
        <f>(15361.9*2204.622)/1000000</f>
        <v>33.867182701799997</v>
      </c>
      <c r="K22" s="7">
        <f>E22-L22</f>
        <v>2025.3231345796003</v>
      </c>
      <c r="L22" s="6">
        <v>2131.2330000000002</v>
      </c>
      <c r="N22" s="129"/>
    </row>
    <row r="23" spans="1:14" ht="13.8">
      <c r="A23" s="22" t="s">
        <v>28</v>
      </c>
      <c r="B23" s="6"/>
      <c r="C23" s="7">
        <f>SUM(C11:C22)</f>
        <v>25022.667000000001</v>
      </c>
      <c r="D23" s="7">
        <f>(136795.2*2204.622)/1000000</f>
        <v>301.5817074144</v>
      </c>
      <c r="E23" s="7">
        <f>B11+C23+D23</f>
        <v>27176.9237074144</v>
      </c>
      <c r="F23" s="6"/>
      <c r="G23" s="6">
        <f>SUM(G11:G22)</f>
        <v>23314.331825683603</v>
      </c>
      <c r="H23" s="7">
        <f>SUM(H11:H22)</f>
        <v>8920.4621000000006</v>
      </c>
      <c r="I23" s="7">
        <f>SUM(I11:I22)</f>
        <v>14393.8697256836</v>
      </c>
      <c r="J23" s="7">
        <f>(785331.3*2204.622)/1000000</f>
        <v>1731.3586612685999</v>
      </c>
      <c r="K23" s="6">
        <f>SUM(K11:K22)</f>
        <v>25045.690707414404</v>
      </c>
      <c r="L23" s="6"/>
    </row>
    <row r="24" spans="1:14" ht="13.8">
      <c r="A24" s="22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0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2" t="s">
        <v>38</v>
      </c>
      <c r="B26" s="6">
        <f>L22</f>
        <v>2131.2330000000002</v>
      </c>
      <c r="C26" s="7">
        <v>2347.58</v>
      </c>
      <c r="D26" s="7">
        <f>(16251.7*2204.622)/1000000</f>
        <v>35.828855357400002</v>
      </c>
      <c r="E26" s="7">
        <f t="shared" ref="E26:E30" si="9">SUM(B26:D26)</f>
        <v>4514.6418553574003</v>
      </c>
      <c r="F26" s="6"/>
      <c r="G26" s="6">
        <f t="shared" ref="G26:G37" si="10">K26-J26</f>
        <v>2071.1409910572002</v>
      </c>
      <c r="H26" s="7">
        <v>832.42700000000002</v>
      </c>
      <c r="I26" s="7">
        <f t="shared" ref="I26:I36" si="11">G26-H26</f>
        <v>1238.7139910572</v>
      </c>
      <c r="J26" s="7">
        <f>(25929.1*2204.622)/1000000</f>
        <v>57.16386430019999</v>
      </c>
      <c r="K26" s="7">
        <f t="shared" ref="K26:K37" si="12">E26-L26</f>
        <v>2128.3048553574004</v>
      </c>
      <c r="L26" s="6">
        <v>2386.337</v>
      </c>
      <c r="N26" s="129"/>
    </row>
    <row r="27" spans="1:14" ht="13.8">
      <c r="A27" s="22" t="s">
        <v>39</v>
      </c>
      <c r="B27" s="6">
        <f t="shared" ref="B27:B37" si="13">L26</f>
        <v>2386.337</v>
      </c>
      <c r="C27" s="7">
        <v>2235.37</v>
      </c>
      <c r="D27" s="7">
        <f>(15479.7*2204.622)/1000000</f>
        <v>34.1268871734</v>
      </c>
      <c r="E27" s="7">
        <f t="shared" si="9"/>
        <v>4655.8338871734004</v>
      </c>
      <c r="F27" s="6"/>
      <c r="G27" s="6">
        <f t="shared" si="10"/>
        <v>2020.5919628710003</v>
      </c>
      <c r="H27" s="7">
        <v>818.01271279999992</v>
      </c>
      <c r="I27" s="7">
        <f t="shared" si="11"/>
        <v>1202.5792500710004</v>
      </c>
      <c r="J27" s="7">
        <f>(103999.2*2204.622)/1000000</f>
        <v>229.27892430239996</v>
      </c>
      <c r="K27" s="7">
        <f t="shared" si="12"/>
        <v>2249.8708871734002</v>
      </c>
      <c r="L27" s="6">
        <v>2405.9630000000002</v>
      </c>
      <c r="N27" s="129"/>
    </row>
    <row r="28" spans="1:14" ht="13.8">
      <c r="A28" s="22" t="s">
        <v>41</v>
      </c>
      <c r="B28" s="6">
        <f t="shared" si="13"/>
        <v>2405.9630000000002</v>
      </c>
      <c r="C28" s="7">
        <v>2324.183</v>
      </c>
      <c r="D28" s="7">
        <f>(14353.5*2204.622)/1000000</f>
        <v>31.644041876999996</v>
      </c>
      <c r="E28" s="7">
        <f t="shared" si="9"/>
        <v>4761.7900418770005</v>
      </c>
      <c r="F28" s="65"/>
      <c r="G28" s="6">
        <f t="shared" si="10"/>
        <v>2130.8006323142004</v>
      </c>
      <c r="H28" s="7">
        <v>938.34100000000001</v>
      </c>
      <c r="I28" s="7">
        <f t="shared" si="11"/>
        <v>1192.4596323142005</v>
      </c>
      <c r="J28" s="7">
        <f>(74887.4*2204.622)/1000000</f>
        <v>165.09840956279999</v>
      </c>
      <c r="K28" s="7">
        <f t="shared" si="12"/>
        <v>2295.8990418770004</v>
      </c>
      <c r="L28" s="6">
        <v>2465.8910000000001</v>
      </c>
      <c r="N28" s="129"/>
    </row>
    <row r="29" spans="1:14" ht="13.8">
      <c r="A29" s="22" t="s">
        <v>42</v>
      </c>
      <c r="B29" s="6">
        <f t="shared" si="13"/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5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  <c r="N29" s="129"/>
    </row>
    <row r="30" spans="1:14" ht="13.8">
      <c r="A30" s="22" t="s">
        <v>43</v>
      </c>
      <c r="B30" s="6">
        <f t="shared" si="13"/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5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  <c r="N30" s="129"/>
    </row>
    <row r="31" spans="1:14" ht="13.8">
      <c r="A31" s="22" t="s">
        <v>45</v>
      </c>
      <c r="B31" s="6">
        <f t="shared" si="13"/>
        <v>2566.107</v>
      </c>
      <c r="C31" s="7">
        <v>2277.5410000000002</v>
      </c>
      <c r="D31" s="7">
        <f>(10063.7*2204.622)/1000000</f>
        <v>22.1866544214</v>
      </c>
      <c r="E31" s="7">
        <f t="shared" ref="E31:E37" si="14">SUM(B31:D31)</f>
        <v>4865.8346544214</v>
      </c>
      <c r="F31" s="65"/>
      <c r="G31" s="6">
        <f t="shared" si="10"/>
        <v>2165.6971246716002</v>
      </c>
      <c r="H31" s="7">
        <v>908.29</v>
      </c>
      <c r="I31" s="7">
        <f t="shared" si="11"/>
        <v>1257.4071246716003</v>
      </c>
      <c r="J31" s="7">
        <f>(120845.9*2204.622)/1000000</f>
        <v>266.41952974979995</v>
      </c>
      <c r="K31" s="7">
        <f t="shared" si="12"/>
        <v>2432.1166544214002</v>
      </c>
      <c r="L31" s="6">
        <v>2433.7179999999998</v>
      </c>
      <c r="N31" s="129"/>
    </row>
    <row r="32" spans="1:14" ht="13.8">
      <c r="A32" s="22" t="s">
        <v>46</v>
      </c>
      <c r="B32" s="6">
        <f t="shared" si="13"/>
        <v>2433.7179999999998</v>
      </c>
      <c r="C32" s="7">
        <v>2143.1179999999999</v>
      </c>
      <c r="D32" s="7">
        <f>(10668.4*2204.622)/1000000</f>
        <v>23.519789344799999</v>
      </c>
      <c r="E32" s="7">
        <f t="shared" si="14"/>
        <v>4600.3557893447996</v>
      </c>
      <c r="F32" s="65"/>
      <c r="G32" s="6">
        <f t="shared" si="10"/>
        <v>2008.0816443671997</v>
      </c>
      <c r="H32" s="7">
        <v>838.9</v>
      </c>
      <c r="I32" s="7">
        <f t="shared" si="11"/>
        <v>1169.1816443671996</v>
      </c>
      <c r="J32" s="7">
        <f>(76240.8*2204.622)/1000000</f>
        <v>168.0821449776</v>
      </c>
      <c r="K32" s="7">
        <f t="shared" si="12"/>
        <v>2176.1637893447996</v>
      </c>
      <c r="L32" s="6">
        <v>2424.192</v>
      </c>
      <c r="N32" s="129"/>
    </row>
    <row r="33" spans="1:14" ht="13.8">
      <c r="A33" s="22" t="s">
        <v>47</v>
      </c>
      <c r="B33" s="6">
        <f t="shared" si="13"/>
        <v>2424.192</v>
      </c>
      <c r="C33" s="7">
        <v>2158.7739999999999</v>
      </c>
      <c r="D33" s="130">
        <f>(11311.9*2204.622)/1000000</f>
        <v>24.938463601799999</v>
      </c>
      <c r="E33" s="7">
        <f t="shared" si="14"/>
        <v>4607.9044636018007</v>
      </c>
      <c r="F33" s="65"/>
      <c r="G33" s="6">
        <f t="shared" si="10"/>
        <v>2149.6411321876008</v>
      </c>
      <c r="H33" s="7">
        <v>855.57100000000003</v>
      </c>
      <c r="I33" s="7">
        <f t="shared" si="11"/>
        <v>1294.0701321876008</v>
      </c>
      <c r="J33" s="130">
        <f>(33516.1*2204.622)/1000000</f>
        <v>73.890331414199991</v>
      </c>
      <c r="K33" s="7">
        <f t="shared" si="12"/>
        <v>2223.5314636018006</v>
      </c>
      <c r="L33" s="6">
        <v>2384.373</v>
      </c>
      <c r="N33" s="129"/>
    </row>
    <row r="34" spans="1:14" ht="13.8">
      <c r="A34" s="22" t="s">
        <v>49</v>
      </c>
      <c r="B34" s="6">
        <f t="shared" si="13"/>
        <v>2384.373</v>
      </c>
      <c r="C34" s="7">
        <v>2068.578</v>
      </c>
      <c r="D34" s="130">
        <f>(10963.3*2204.622)/1000000</f>
        <v>24.169932372599998</v>
      </c>
      <c r="E34" s="7">
        <f t="shared" si="14"/>
        <v>4477.1209323725998</v>
      </c>
      <c r="F34" s="65"/>
      <c r="G34" s="6">
        <f t="shared" si="10"/>
        <v>2088.4572126891999</v>
      </c>
      <c r="H34" s="7">
        <v>809.79899999999998</v>
      </c>
      <c r="I34" s="7">
        <f t="shared" si="11"/>
        <v>1278.6582126891999</v>
      </c>
      <c r="J34" s="130">
        <f>(33184.7*2204.622)/1000000</f>
        <v>73.159719683399985</v>
      </c>
      <c r="K34" s="7">
        <f t="shared" si="12"/>
        <v>2161.6169323725999</v>
      </c>
      <c r="L34" s="6">
        <v>2315.5039999999999</v>
      </c>
      <c r="N34"/>
    </row>
    <row r="35" spans="1:14" ht="13.8">
      <c r="A35" s="22" t="s">
        <v>50</v>
      </c>
      <c r="B35" s="6">
        <f t="shared" si="13"/>
        <v>2315.5039999999999</v>
      </c>
      <c r="C35" s="7">
        <v>2157.9699999999998</v>
      </c>
      <c r="D35" s="130">
        <f>(11391.7*2204.622)/1000000</f>
        <v>25.114392437399999</v>
      </c>
      <c r="E35" s="7">
        <f t="shared" si="14"/>
        <v>4498.5883924374002</v>
      </c>
      <c r="F35" s="65"/>
      <c r="G35" s="6">
        <f t="shared" si="10"/>
        <v>2152.2464242048004</v>
      </c>
      <c r="H35" s="7">
        <v>956.48800000000006</v>
      </c>
      <c r="I35" s="7">
        <f t="shared" si="11"/>
        <v>1195.7584242048003</v>
      </c>
      <c r="J35" s="130">
        <f>(53593.3*2204.622)/1000000</f>
        <v>118.1529682326</v>
      </c>
      <c r="K35" s="7">
        <f t="shared" si="12"/>
        <v>2270.3993924374004</v>
      </c>
      <c r="L35" s="6">
        <v>2228.1889999999999</v>
      </c>
      <c r="N35"/>
    </row>
    <row r="36" spans="1:14" ht="13.8">
      <c r="A36" s="22" t="s">
        <v>51</v>
      </c>
      <c r="B36" s="6">
        <f t="shared" si="13"/>
        <v>2228.1889999999999</v>
      </c>
      <c r="C36" s="7">
        <v>2095.5810000000001</v>
      </c>
      <c r="D36" s="130">
        <f>(9641.3*2204.622)/1000000</f>
        <v>21.2554220886</v>
      </c>
      <c r="E36" s="7">
        <f t="shared" si="14"/>
        <v>4345.0254220886009</v>
      </c>
      <c r="F36" s="65"/>
      <c r="G36" s="6">
        <f t="shared" si="10"/>
        <v>2184.2202080034012</v>
      </c>
      <c r="H36" s="7">
        <v>924.71799999999996</v>
      </c>
      <c r="I36" s="7">
        <f t="shared" si="11"/>
        <v>1259.5022080034014</v>
      </c>
      <c r="J36" s="130">
        <f>(25896.6*2204.622)/1000000</f>
        <v>57.092214085199991</v>
      </c>
      <c r="K36" s="7">
        <f t="shared" si="12"/>
        <v>2241.3124220886011</v>
      </c>
      <c r="L36" s="6">
        <v>2103.7129999999997</v>
      </c>
      <c r="N36"/>
    </row>
    <row r="37" spans="1:14" ht="13.8">
      <c r="A37" s="22" t="s">
        <v>37</v>
      </c>
      <c r="B37" s="6">
        <f t="shared" si="13"/>
        <v>2103.7129999999997</v>
      </c>
      <c r="C37" s="7">
        <v>1992.9639999999999</v>
      </c>
      <c r="D37" s="130">
        <f>(10329.4*2204.622)/1000000</f>
        <v>22.772422486799996</v>
      </c>
      <c r="E37" s="7">
        <f t="shared" si="14"/>
        <v>4119.4494224867994</v>
      </c>
      <c r="F37" s="65"/>
      <c r="G37" s="6">
        <f t="shared" si="10"/>
        <v>2074.9350596881995</v>
      </c>
      <c r="H37" s="7" t="s">
        <v>75</v>
      </c>
      <c r="I37" s="7" t="s">
        <v>75</v>
      </c>
      <c r="J37" s="130">
        <f>(20446.3*2204.622)/1000000</f>
        <v>45.076362798599995</v>
      </c>
      <c r="K37" s="7">
        <f t="shared" si="12"/>
        <v>2120.0114224867993</v>
      </c>
      <c r="L37" s="6">
        <v>1999.4380000000001</v>
      </c>
      <c r="N37"/>
    </row>
    <row r="38" spans="1:14" ht="13.8">
      <c r="A38" s="16" t="s">
        <v>28</v>
      </c>
      <c r="B38" s="61"/>
      <c r="C38" s="45">
        <f>SUM(C26:C37)</f>
        <v>26143.213000000003</v>
      </c>
      <c r="D38" s="45">
        <f>(137569.3*2204.622)/1000000</f>
        <v>303.28830530459993</v>
      </c>
      <c r="E38" s="45">
        <f>B26+C38+D38</f>
        <v>28577.734305304602</v>
      </c>
      <c r="F38" s="61"/>
      <c r="G38" s="61">
        <f>SUM(G26:G37)</f>
        <v>24804.8529532914</v>
      </c>
      <c r="H38" s="45">
        <f>SUM(H26:H37)</f>
        <v>9414.5367127999998</v>
      </c>
      <c r="I38" s="45">
        <f>SUM(I26:I37)</f>
        <v>13315.381180803202</v>
      </c>
      <c r="J38" s="45">
        <f>(804420.5*2204.622)/1000000</f>
        <v>1773.4431315509999</v>
      </c>
      <c r="K38" s="61">
        <f>SUM(K26:K37)</f>
        <v>26578.296305304604</v>
      </c>
      <c r="L38" s="61"/>
      <c r="N38"/>
    </row>
    <row r="39" spans="1:14" ht="16.2">
      <c r="A39" s="55" t="s">
        <v>76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ht="14.4">
      <c r="A40" s="18" t="s">
        <v>68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4" ht="13.8">
      <c r="A41" s="24" t="s">
        <v>56</v>
      </c>
      <c r="B41" s="47">
        <f>Contents!A16</f>
        <v>44879</v>
      </c>
      <c r="K41" s="44"/>
    </row>
    <row r="42" spans="1:14">
      <c r="E42" s="44"/>
    </row>
  </sheetData>
  <mergeCells count="3">
    <mergeCell ref="B5:L5"/>
    <mergeCell ref="G2:I2"/>
    <mergeCell ref="B2:E2"/>
  </mergeCells>
  <phoneticPr fontId="19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>
      <selection activeCell="K8" sqref="K8"/>
    </sheetView>
  </sheetViews>
  <sheetFormatPr defaultColWidth="9.109375" defaultRowHeight="13.2"/>
  <cols>
    <col min="1" max="1" width="15.33203125" style="17" customWidth="1"/>
    <col min="2" max="2" width="13.109375" style="17" customWidth="1"/>
    <col min="3" max="3" width="12.109375" style="17" customWidth="1"/>
    <col min="4" max="4" width="13.44140625" style="17" customWidth="1"/>
    <col min="5" max="5" width="15.33203125" style="17" customWidth="1"/>
    <col min="6" max="6" width="11.44140625" style="17" customWidth="1"/>
    <col min="7" max="7" width="11.6640625" style="17" customWidth="1"/>
    <col min="8" max="8" width="8.6640625" style="17" customWidth="1"/>
    <col min="9" max="9" width="9.6640625" style="17" customWidth="1"/>
    <col min="10" max="11" width="7.6640625" style="17" customWidth="1"/>
    <col min="12" max="12" width="8.5546875" style="17" customWidth="1"/>
    <col min="13" max="13" width="9.5546875" style="17" customWidth="1"/>
    <col min="14" max="15" width="7.5546875" style="17" customWidth="1"/>
    <col min="16" max="18" width="9.109375" style="17"/>
    <col min="19" max="19" width="17.44140625" style="17" bestFit="1" customWidth="1"/>
    <col min="20" max="20" width="9.109375" style="17"/>
    <col min="21" max="21" width="28.33203125" style="17" bestFit="1" customWidth="1"/>
    <col min="22" max="16384" width="9.109375" style="17"/>
  </cols>
  <sheetData>
    <row r="1" spans="1:15" ht="13.8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8"/>
      <c r="M1" s="18"/>
      <c r="N1" s="18"/>
      <c r="O1" s="18"/>
    </row>
    <row r="2" spans="1:15" ht="13.8">
      <c r="A2" s="18"/>
      <c r="B2" s="167" t="s">
        <v>57</v>
      </c>
      <c r="C2" s="167"/>
      <c r="D2" s="167"/>
      <c r="E2" s="167"/>
      <c r="F2" s="92"/>
      <c r="G2" s="167" t="s">
        <v>58</v>
      </c>
      <c r="H2" s="167"/>
      <c r="I2" s="167"/>
      <c r="J2" s="167"/>
      <c r="K2" s="92"/>
      <c r="L2" s="18"/>
      <c r="M2" s="18"/>
      <c r="N2" s="18"/>
      <c r="O2" s="18"/>
    </row>
    <row r="3" spans="1:15" ht="13.8">
      <c r="A3" s="18" t="s">
        <v>17</v>
      </c>
      <c r="B3" s="24" t="s">
        <v>69</v>
      </c>
      <c r="C3" s="24"/>
      <c r="D3" s="24"/>
      <c r="E3" s="24"/>
      <c r="F3" s="93"/>
      <c r="G3" s="24"/>
      <c r="H3" s="24"/>
      <c r="I3" s="24"/>
      <c r="J3" s="24"/>
      <c r="K3" s="20" t="s">
        <v>59</v>
      </c>
      <c r="L3" s="18"/>
      <c r="M3" s="18"/>
      <c r="N3" s="18"/>
      <c r="O3" s="18"/>
    </row>
    <row r="4" spans="1:15" ht="13.8">
      <c r="A4" s="25" t="s">
        <v>77</v>
      </c>
      <c r="B4" s="27" t="s">
        <v>78</v>
      </c>
      <c r="C4" s="75" t="s">
        <v>26</v>
      </c>
      <c r="D4" s="29" t="s">
        <v>70</v>
      </c>
      <c r="E4" s="27" t="s">
        <v>79</v>
      </c>
      <c r="F4" s="28"/>
      <c r="G4" s="27" t="s">
        <v>80</v>
      </c>
      <c r="H4" s="27" t="s">
        <v>30</v>
      </c>
      <c r="I4" s="27" t="s">
        <v>81</v>
      </c>
      <c r="J4" s="27" t="s">
        <v>82</v>
      </c>
      <c r="K4" s="27" t="s">
        <v>61</v>
      </c>
      <c r="L4" s="18"/>
      <c r="M4" s="18"/>
      <c r="N4" s="18"/>
      <c r="O4" s="18"/>
    </row>
    <row r="5" spans="1:15" ht="14.4">
      <c r="A5" s="18"/>
      <c r="B5" s="172" t="s">
        <v>83</v>
      </c>
      <c r="C5" s="172"/>
      <c r="D5" s="172"/>
      <c r="E5" s="172"/>
      <c r="F5" s="172"/>
      <c r="G5" s="172"/>
      <c r="H5" s="172"/>
      <c r="I5" s="172"/>
      <c r="J5" s="172"/>
      <c r="K5" s="172"/>
      <c r="L5" s="18"/>
      <c r="M5" s="18"/>
      <c r="N5" s="18"/>
      <c r="O5" s="18"/>
    </row>
    <row r="6" spans="1:15" ht="13.8">
      <c r="A6" s="22" t="s">
        <v>34</v>
      </c>
      <c r="B6" s="95">
        <v>456.0068619717149</v>
      </c>
      <c r="C6" s="95">
        <v>4468</v>
      </c>
      <c r="D6" s="96">
        <v>1</v>
      </c>
      <c r="E6" s="95">
        <f>B6+C6+D6</f>
        <v>4925.0068619717149</v>
      </c>
      <c r="F6" s="97"/>
      <c r="G6" s="95">
        <v>1562.7429999999999</v>
      </c>
      <c r="H6" s="98">
        <v>279.55399999999997</v>
      </c>
      <c r="I6" s="95">
        <f>J6-G6-H6</f>
        <v>2687.0673090269106</v>
      </c>
      <c r="J6" s="95">
        <f>E6-K6</f>
        <v>4529.3643090269106</v>
      </c>
      <c r="K6" s="95">
        <v>395.64255294480427</v>
      </c>
      <c r="L6" s="18"/>
      <c r="M6" s="18"/>
      <c r="N6" s="18"/>
      <c r="O6" s="18"/>
    </row>
    <row r="7" spans="1:15" ht="16.2">
      <c r="A7" s="22" t="s">
        <v>35</v>
      </c>
      <c r="B7" s="95">
        <f>K6</f>
        <v>395.64255294480427</v>
      </c>
      <c r="C7" s="95">
        <v>5323</v>
      </c>
      <c r="D7" s="96">
        <v>24.765738432900992</v>
      </c>
      <c r="E7" s="95">
        <f>B7+C7+D7</f>
        <v>5743.4082913777056</v>
      </c>
      <c r="F7" s="97"/>
      <c r="G7" s="95">
        <v>1556.9839999999999</v>
      </c>
      <c r="H7" s="98">
        <v>297.69790855776995</v>
      </c>
      <c r="I7" s="95">
        <f>J7-G7-H7</f>
        <v>3493.8003828199353</v>
      </c>
      <c r="J7" s="95">
        <f>E7-K7</f>
        <v>5348.4822913777052</v>
      </c>
      <c r="K7" s="95">
        <v>394.92599999999999</v>
      </c>
      <c r="L7" s="18"/>
      <c r="M7" s="18"/>
      <c r="N7" s="18"/>
      <c r="O7" s="18"/>
    </row>
    <row r="8" spans="1:15" ht="16.2">
      <c r="A8" s="16" t="s">
        <v>36</v>
      </c>
      <c r="B8" s="99">
        <f>K7</f>
        <v>394.92599999999999</v>
      </c>
      <c r="C8" s="99">
        <v>4260</v>
      </c>
      <c r="D8" s="100">
        <v>30</v>
      </c>
      <c r="E8" s="99">
        <f>B8+C8+D8</f>
        <v>4684.9260000000004</v>
      </c>
      <c r="F8" s="101"/>
      <c r="G8" s="99">
        <v>1480</v>
      </c>
      <c r="H8" s="102">
        <v>225</v>
      </c>
      <c r="I8" s="99">
        <f>J8-G8-H8</f>
        <v>2589</v>
      </c>
      <c r="J8" s="99">
        <f>E8-K8</f>
        <v>4294</v>
      </c>
      <c r="K8" s="99">
        <v>390.92599999999999</v>
      </c>
      <c r="L8" s="18"/>
      <c r="M8" s="18"/>
      <c r="N8" s="18"/>
      <c r="O8" s="18"/>
    </row>
    <row r="9" spans="1:15" ht="16.2">
      <c r="A9" s="55" t="s">
        <v>84</v>
      </c>
      <c r="B9" s="18"/>
      <c r="C9" s="94"/>
      <c r="D9" s="94"/>
      <c r="E9" s="94"/>
      <c r="F9" s="94"/>
      <c r="G9" s="103"/>
      <c r="H9" s="94"/>
      <c r="I9" s="94"/>
      <c r="J9" s="94"/>
      <c r="K9" s="18"/>
      <c r="L9" s="18"/>
      <c r="M9" s="18"/>
      <c r="N9" s="18"/>
      <c r="O9" s="18"/>
    </row>
    <row r="10" spans="1:15" ht="14.4">
      <c r="A10" s="18" t="s">
        <v>85</v>
      </c>
      <c r="B10" s="37"/>
      <c r="C10" s="43"/>
      <c r="D10" s="18"/>
      <c r="E10" s="37"/>
      <c r="F10" s="37"/>
      <c r="G10" s="37"/>
      <c r="H10" s="37"/>
      <c r="I10" s="37"/>
      <c r="J10" s="37"/>
      <c r="K10" s="18"/>
      <c r="L10" s="18"/>
      <c r="M10" s="18"/>
      <c r="N10" s="18"/>
      <c r="O10" s="18"/>
    </row>
    <row r="11" spans="1:15" ht="14.4">
      <c r="A11" s="18" t="s">
        <v>86</v>
      </c>
      <c r="B11" s="37"/>
      <c r="C11" s="43"/>
      <c r="D11" s="18"/>
      <c r="E11" s="37"/>
      <c r="F11" s="37"/>
      <c r="G11" s="37"/>
      <c r="H11" s="37"/>
      <c r="I11" s="37"/>
      <c r="J11" s="37"/>
      <c r="K11" s="18"/>
      <c r="L11" s="18"/>
      <c r="M11" s="18"/>
      <c r="N11" s="18"/>
      <c r="O11" s="18"/>
    </row>
    <row r="12" spans="1:15" ht="13.8">
      <c r="A12" s="18"/>
      <c r="B12" s="37"/>
      <c r="C12" s="43"/>
      <c r="D12" s="18"/>
      <c r="E12" s="37"/>
      <c r="F12" s="37"/>
      <c r="G12" s="37"/>
      <c r="H12" s="37"/>
      <c r="I12" s="37"/>
      <c r="J12" s="37"/>
      <c r="K12" s="18"/>
      <c r="L12" s="18"/>
      <c r="M12" s="18"/>
      <c r="N12" s="18"/>
      <c r="O12" s="18"/>
    </row>
    <row r="13" spans="1:15" ht="13.8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3.8">
      <c r="A14" s="16" t="s">
        <v>5</v>
      </c>
      <c r="B14" s="16"/>
      <c r="C14" s="16"/>
      <c r="D14" s="16"/>
      <c r="E14" s="16"/>
      <c r="F14" s="16"/>
      <c r="G14" s="16"/>
      <c r="H14" s="16"/>
      <c r="I14" s="18"/>
      <c r="J14" s="16"/>
      <c r="K14" s="18"/>
      <c r="L14" s="18"/>
      <c r="M14" s="18"/>
      <c r="N14" s="18"/>
      <c r="O14" s="18"/>
    </row>
    <row r="15" spans="1:15" ht="13.8">
      <c r="A15" s="18"/>
      <c r="B15" s="167" t="s">
        <v>57</v>
      </c>
      <c r="C15" s="167"/>
      <c r="D15" s="167"/>
      <c r="E15" s="167"/>
      <c r="F15" s="18"/>
      <c r="G15" s="167" t="s">
        <v>58</v>
      </c>
      <c r="H15" s="167"/>
      <c r="I15" s="167"/>
      <c r="J15" s="18"/>
      <c r="K15" s="18"/>
      <c r="L15" s="18"/>
      <c r="M15" s="18"/>
      <c r="N15" s="18"/>
      <c r="O15" s="18"/>
    </row>
    <row r="16" spans="1:15" ht="13.8">
      <c r="A16" s="18" t="s">
        <v>17</v>
      </c>
      <c r="B16" s="20" t="s">
        <v>69</v>
      </c>
      <c r="C16" s="24"/>
      <c r="D16" s="24"/>
      <c r="E16" s="24"/>
      <c r="F16" s="24"/>
      <c r="G16" s="24"/>
      <c r="H16" s="24"/>
      <c r="I16" s="24"/>
      <c r="J16" s="20" t="s">
        <v>59</v>
      </c>
      <c r="K16" s="18"/>
      <c r="L16" s="18"/>
      <c r="M16" s="18"/>
      <c r="N16" s="18"/>
      <c r="O16" s="18"/>
    </row>
    <row r="17" spans="1:15" ht="13.8">
      <c r="A17" s="25" t="s">
        <v>60</v>
      </c>
      <c r="B17" s="27" t="s">
        <v>61</v>
      </c>
      <c r="C17" s="75" t="s">
        <v>26</v>
      </c>
      <c r="D17" s="29" t="s">
        <v>70</v>
      </c>
      <c r="E17" s="27" t="s">
        <v>82</v>
      </c>
      <c r="F17" s="28"/>
      <c r="G17" s="95" t="s">
        <v>87</v>
      </c>
      <c r="H17" s="27" t="s">
        <v>30</v>
      </c>
      <c r="I17" s="29" t="s">
        <v>62</v>
      </c>
      <c r="J17" s="27" t="s">
        <v>61</v>
      </c>
      <c r="K17" s="18"/>
      <c r="L17" s="18"/>
      <c r="M17" s="18"/>
      <c r="N17" s="18"/>
      <c r="O17" s="18"/>
    </row>
    <row r="18" spans="1:15" ht="14.4">
      <c r="A18" s="18"/>
      <c r="B18" s="172" t="s">
        <v>88</v>
      </c>
      <c r="C18" s="172"/>
      <c r="D18" s="172"/>
      <c r="E18" s="172"/>
      <c r="F18" s="172"/>
      <c r="G18" s="172"/>
      <c r="H18" s="172"/>
      <c r="I18" s="172"/>
      <c r="J18" s="172"/>
      <c r="K18" s="18"/>
      <c r="L18" s="18"/>
      <c r="M18" s="18"/>
      <c r="N18" s="18"/>
      <c r="O18" s="18"/>
    </row>
    <row r="19" spans="1:15" ht="13.8">
      <c r="A19" s="22" t="s">
        <v>34</v>
      </c>
      <c r="B19" s="95">
        <v>24.872</v>
      </c>
      <c r="C19" s="98">
        <v>648.57100000000003</v>
      </c>
      <c r="D19" s="96">
        <v>0</v>
      </c>
      <c r="E19" s="98">
        <f>B19+C19+D19</f>
        <v>673.44299999999998</v>
      </c>
      <c r="F19" s="97"/>
      <c r="G19" s="98">
        <v>573.37699999999995</v>
      </c>
      <c r="H19" s="98">
        <v>60.759509638330982</v>
      </c>
      <c r="I19" s="98">
        <f>SUM(G19:H19)</f>
        <v>634.13650963833095</v>
      </c>
      <c r="J19" s="95">
        <v>39.305999999999997</v>
      </c>
      <c r="K19" s="18"/>
      <c r="L19" s="18"/>
      <c r="M19" s="18"/>
      <c r="N19" s="18"/>
      <c r="O19" s="18"/>
    </row>
    <row r="20" spans="1:15" ht="16.2">
      <c r="A20" s="22" t="s">
        <v>35</v>
      </c>
      <c r="B20" s="95">
        <f>J19</f>
        <v>39.305999999999997</v>
      </c>
      <c r="C20" s="98">
        <v>695</v>
      </c>
      <c r="D20" s="96">
        <v>0.10141264051999997</v>
      </c>
      <c r="E20" s="98">
        <f>B20+C20+D20</f>
        <v>734.40741264052008</v>
      </c>
      <c r="F20" s="97"/>
      <c r="G20" s="98">
        <f>E20-J20-H20</f>
        <v>658.743182863843</v>
      </c>
      <c r="H20" s="98">
        <v>53.348229776676988</v>
      </c>
      <c r="I20" s="98">
        <f>SUM(G20:H20)</f>
        <v>712.09141264052005</v>
      </c>
      <c r="J20" s="95">
        <v>22.315999999999999</v>
      </c>
      <c r="K20" s="18"/>
      <c r="L20" s="18"/>
      <c r="M20" s="18"/>
      <c r="N20" s="18"/>
      <c r="O20" s="18"/>
    </row>
    <row r="21" spans="1:15" ht="16.2">
      <c r="A21" s="16" t="s">
        <v>36</v>
      </c>
      <c r="B21" s="99">
        <f>J20</f>
        <v>22.315999999999999</v>
      </c>
      <c r="C21" s="102">
        <v>660</v>
      </c>
      <c r="D21" s="100">
        <v>0</v>
      </c>
      <c r="E21" s="102">
        <f>B21+C21+D21</f>
        <v>682.31600000000003</v>
      </c>
      <c r="F21" s="101"/>
      <c r="G21" s="102">
        <f>E21-J21-H21</f>
        <v>582.31600000000003</v>
      </c>
      <c r="H21" s="102">
        <v>60</v>
      </c>
      <c r="I21" s="102">
        <f>SUM(G21:H21)</f>
        <v>642.31600000000003</v>
      </c>
      <c r="J21" s="99">
        <v>40</v>
      </c>
      <c r="K21" s="18"/>
      <c r="L21" s="18"/>
      <c r="M21" s="18"/>
      <c r="N21" s="18"/>
      <c r="O21" s="18"/>
    </row>
    <row r="22" spans="1:15" ht="16.2">
      <c r="A22" s="55" t="s">
        <v>84</v>
      </c>
      <c r="B22" s="18"/>
      <c r="C22" s="94"/>
      <c r="D22" s="94"/>
      <c r="E22" s="94"/>
      <c r="F22" s="94"/>
      <c r="G22" s="94"/>
      <c r="H22" s="94"/>
      <c r="I22" s="18"/>
      <c r="J22" s="18"/>
      <c r="K22" s="18"/>
      <c r="L22" s="18"/>
      <c r="M22" s="18"/>
      <c r="N22" s="18"/>
      <c r="O22" s="18"/>
    </row>
    <row r="23" spans="1:15" ht="14.4">
      <c r="A23" s="18" t="s">
        <v>89</v>
      </c>
      <c r="B23" s="97"/>
      <c r="C23" s="97"/>
      <c r="D23" s="97"/>
      <c r="E23" s="97"/>
      <c r="F23" s="97"/>
      <c r="G23" s="97"/>
      <c r="H23" s="97"/>
      <c r="I23" s="18"/>
      <c r="J23" s="18"/>
      <c r="K23" s="18"/>
      <c r="L23" s="18"/>
      <c r="M23" s="18"/>
      <c r="N23" s="18"/>
      <c r="O23" s="18"/>
    </row>
    <row r="24" spans="1:15" ht="13.8">
      <c r="A24" s="22"/>
      <c r="B24" s="37"/>
      <c r="C24" s="37"/>
      <c r="D24" s="37"/>
      <c r="E24" s="37"/>
      <c r="F24" s="37"/>
      <c r="G24" s="37"/>
      <c r="H24" s="37"/>
      <c r="I24" s="18"/>
      <c r="J24" s="18"/>
      <c r="K24" s="18"/>
      <c r="L24" s="18"/>
      <c r="M24" s="18"/>
      <c r="N24" s="18"/>
      <c r="O24" s="18"/>
    </row>
    <row r="25" spans="1:15" ht="13.8">
      <c r="A25" s="22"/>
      <c r="B25" s="37"/>
      <c r="C25" s="43"/>
      <c r="D25" s="37"/>
      <c r="E25" s="37"/>
      <c r="F25" s="37"/>
      <c r="G25" s="37"/>
      <c r="H25" s="37"/>
      <c r="I25" s="18"/>
      <c r="J25" s="18"/>
      <c r="K25" s="18"/>
      <c r="L25" s="18"/>
      <c r="M25" s="18"/>
      <c r="N25" s="18"/>
      <c r="O25" s="18"/>
    </row>
    <row r="26" spans="1:15" ht="13.8">
      <c r="A26" s="16" t="s">
        <v>6</v>
      </c>
      <c r="B26" s="16"/>
      <c r="C26" s="16"/>
      <c r="D26" s="16"/>
      <c r="E26" s="16"/>
      <c r="F26" s="16"/>
      <c r="G26" s="16"/>
      <c r="H26" s="16"/>
      <c r="I26" s="18"/>
      <c r="J26" s="16"/>
      <c r="K26" s="18"/>
      <c r="L26" s="18"/>
      <c r="M26" s="18"/>
      <c r="N26" s="18"/>
      <c r="O26" s="18"/>
    </row>
    <row r="27" spans="1:15" ht="13.8">
      <c r="A27" s="18"/>
      <c r="B27" s="167" t="s">
        <v>57</v>
      </c>
      <c r="C27" s="167"/>
      <c r="D27" s="167"/>
      <c r="E27" s="167"/>
      <c r="F27" s="18"/>
      <c r="G27" s="167" t="s">
        <v>58</v>
      </c>
      <c r="H27" s="167"/>
      <c r="I27" s="167"/>
      <c r="J27" s="18"/>
      <c r="K27" s="18"/>
      <c r="L27" s="18"/>
      <c r="M27" s="18"/>
      <c r="N27" s="18"/>
      <c r="O27" s="18"/>
    </row>
    <row r="28" spans="1:15" ht="13.8">
      <c r="A28" s="18" t="s">
        <v>17</v>
      </c>
      <c r="B28" s="20" t="s">
        <v>69</v>
      </c>
      <c r="C28" s="24"/>
      <c r="D28" s="24"/>
      <c r="E28" s="24"/>
      <c r="F28" s="24"/>
      <c r="G28" s="24"/>
      <c r="H28" s="24"/>
      <c r="I28" s="24"/>
      <c r="J28" s="20" t="s">
        <v>59</v>
      </c>
      <c r="K28" s="18"/>
      <c r="L28" s="18"/>
      <c r="M28" s="18"/>
      <c r="N28" s="18"/>
      <c r="O28" s="18"/>
    </row>
    <row r="29" spans="1:15" ht="13.8">
      <c r="A29" s="25" t="s">
        <v>60</v>
      </c>
      <c r="B29" s="27" t="s">
        <v>61</v>
      </c>
      <c r="C29" s="27" t="s">
        <v>26</v>
      </c>
      <c r="D29" s="29" t="s">
        <v>70</v>
      </c>
      <c r="E29" s="27" t="s">
        <v>82</v>
      </c>
      <c r="F29" s="28"/>
      <c r="G29" s="27" t="s">
        <v>63</v>
      </c>
      <c r="H29" s="27" t="s">
        <v>30</v>
      </c>
      <c r="I29" s="27" t="s">
        <v>62</v>
      </c>
      <c r="J29" s="27" t="s">
        <v>65</v>
      </c>
      <c r="K29" s="18"/>
      <c r="L29" s="18"/>
      <c r="M29" s="18"/>
      <c r="N29" s="18"/>
      <c r="O29" s="18"/>
    </row>
    <row r="30" spans="1:15" ht="14.4">
      <c r="A30" s="18"/>
      <c r="B30" s="172" t="s">
        <v>90</v>
      </c>
      <c r="C30" s="172"/>
      <c r="D30" s="172"/>
      <c r="E30" s="172"/>
      <c r="F30" s="172"/>
      <c r="G30" s="172"/>
      <c r="H30" s="172"/>
      <c r="I30" s="172"/>
      <c r="J30" s="172"/>
      <c r="K30" s="18"/>
      <c r="L30" s="18"/>
      <c r="M30" s="18"/>
      <c r="N30" s="18"/>
      <c r="O30" s="18"/>
    </row>
    <row r="31" spans="1:15" ht="13.8">
      <c r="A31" s="22" t="s">
        <v>34</v>
      </c>
      <c r="B31" s="96">
        <v>44.537999999999997</v>
      </c>
      <c r="C31" s="98">
        <v>399.91800000000001</v>
      </c>
      <c r="D31" s="96">
        <v>21.365218272682</v>
      </c>
      <c r="E31" s="104">
        <f>B31+C31+D31</f>
        <v>465.82121827268202</v>
      </c>
      <c r="F31" s="97"/>
      <c r="G31" s="98">
        <f>I31-H31</f>
        <v>354.93667903513006</v>
      </c>
      <c r="H31" s="98">
        <v>62.676539237551999</v>
      </c>
      <c r="I31" s="98">
        <f>E31-J31</f>
        <v>417.61321827268205</v>
      </c>
      <c r="J31" s="98">
        <v>48.207999999999998</v>
      </c>
      <c r="K31" s="18"/>
      <c r="L31" s="18"/>
      <c r="M31" s="18"/>
      <c r="N31" s="18"/>
      <c r="O31" s="18"/>
    </row>
    <row r="32" spans="1:15" ht="16.2">
      <c r="A32" s="22" t="s">
        <v>35</v>
      </c>
      <c r="B32" s="96">
        <f>J31</f>
        <v>48.207999999999998</v>
      </c>
      <c r="C32" s="98">
        <v>430</v>
      </c>
      <c r="D32" s="96">
        <v>24.878284417651997</v>
      </c>
      <c r="E32" s="104">
        <f>B32+C32+D32</f>
        <v>503.086284417652</v>
      </c>
      <c r="F32" s="97"/>
      <c r="G32" s="98">
        <f>I32-H32</f>
        <v>325.59072038149202</v>
      </c>
      <c r="H32" s="98">
        <v>127.79756403616</v>
      </c>
      <c r="I32" s="98">
        <f>E32-J32</f>
        <v>453.38828441765202</v>
      </c>
      <c r="J32" s="98">
        <v>49.698</v>
      </c>
      <c r="K32" s="18"/>
      <c r="L32" s="18"/>
      <c r="M32" s="18"/>
      <c r="N32" s="18"/>
      <c r="O32" s="18"/>
    </row>
    <row r="33" spans="1:17" ht="16.2">
      <c r="A33" s="16" t="s">
        <v>36</v>
      </c>
      <c r="B33" s="100">
        <f>J32</f>
        <v>49.698</v>
      </c>
      <c r="C33" s="102">
        <v>400</v>
      </c>
      <c r="D33" s="100">
        <v>20</v>
      </c>
      <c r="E33" s="105">
        <f>B33+C33+D33</f>
        <v>469.69799999999998</v>
      </c>
      <c r="F33" s="101"/>
      <c r="G33" s="102">
        <f>I33-H33</f>
        <v>354.69799999999998</v>
      </c>
      <c r="H33" s="102">
        <v>65</v>
      </c>
      <c r="I33" s="102">
        <f>E33-J33</f>
        <v>419.69799999999998</v>
      </c>
      <c r="J33" s="102">
        <v>50</v>
      </c>
      <c r="K33" s="18"/>
      <c r="L33" s="18"/>
      <c r="M33" s="18"/>
      <c r="N33" s="18"/>
      <c r="O33" s="18"/>
    </row>
    <row r="34" spans="1:17" ht="16.2">
      <c r="A34" s="55" t="s">
        <v>84</v>
      </c>
      <c r="B34" s="18"/>
      <c r="C34" s="94"/>
      <c r="D34" s="94"/>
      <c r="E34" s="94"/>
      <c r="F34" s="94"/>
      <c r="G34" s="94"/>
      <c r="H34" s="94"/>
      <c r="I34" s="18"/>
      <c r="J34" s="18"/>
      <c r="K34" s="18"/>
      <c r="L34" s="18"/>
      <c r="M34" s="18"/>
      <c r="N34" s="18"/>
      <c r="O34" s="18"/>
    </row>
    <row r="35" spans="1:17" ht="14.4">
      <c r="A35" s="18" t="s">
        <v>89</v>
      </c>
      <c r="B35" s="37"/>
      <c r="C35" s="43"/>
      <c r="D35" s="37"/>
      <c r="E35" s="37"/>
      <c r="F35" s="37"/>
      <c r="G35" s="37"/>
      <c r="H35" s="37"/>
      <c r="I35" s="18"/>
      <c r="J35" s="18"/>
      <c r="K35" s="18"/>
      <c r="L35" s="18"/>
      <c r="M35" s="18"/>
      <c r="N35" s="18"/>
      <c r="O35" s="18"/>
    </row>
    <row r="36" spans="1:17" ht="13.8">
      <c r="A36" s="22"/>
      <c r="B36" s="22"/>
      <c r="C36" s="22"/>
      <c r="D36" s="22"/>
      <c r="E36" s="22"/>
      <c r="F36" s="22"/>
      <c r="G36" s="22"/>
      <c r="H36" s="22"/>
      <c r="I36" s="18"/>
      <c r="J36" s="18"/>
      <c r="K36" s="18"/>
      <c r="L36" s="18"/>
      <c r="M36" s="18"/>
      <c r="N36" s="18"/>
      <c r="O36" s="18"/>
    </row>
    <row r="37" spans="1:17" ht="13.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7" ht="13.8">
      <c r="A38" s="16" t="s">
        <v>7</v>
      </c>
      <c r="B38" s="16"/>
      <c r="C38" s="16"/>
      <c r="D38" s="16"/>
      <c r="E38" s="16"/>
      <c r="F38" s="16"/>
      <c r="G38" s="16"/>
      <c r="H38" s="16"/>
      <c r="I38" s="16"/>
      <c r="J38" s="18"/>
      <c r="K38" s="18"/>
      <c r="L38" s="18"/>
      <c r="M38" s="18"/>
      <c r="N38" s="18"/>
      <c r="O38" s="18"/>
    </row>
    <row r="39" spans="1:17" ht="13.8">
      <c r="A39" s="18"/>
      <c r="B39" s="167" t="s">
        <v>13</v>
      </c>
      <c r="C39" s="167"/>
      <c r="D39" s="20" t="s">
        <v>14</v>
      </c>
      <c r="E39" s="167" t="s">
        <v>15</v>
      </c>
      <c r="F39" s="167"/>
      <c r="G39" s="167"/>
      <c r="H39" s="167"/>
      <c r="I39" s="18"/>
      <c r="J39" s="167" t="s">
        <v>58</v>
      </c>
      <c r="K39" s="167"/>
      <c r="L39" s="167"/>
      <c r="M39" s="167"/>
      <c r="N39" s="167"/>
      <c r="O39" s="92"/>
    </row>
    <row r="40" spans="1:17" ht="13.8">
      <c r="A40" s="18" t="s">
        <v>17</v>
      </c>
      <c r="B40" s="20" t="s">
        <v>18</v>
      </c>
      <c r="C40" s="20" t="s">
        <v>19</v>
      </c>
      <c r="D40" s="18"/>
      <c r="E40" s="20" t="s">
        <v>69</v>
      </c>
      <c r="F40" s="20"/>
      <c r="G40" s="20"/>
      <c r="H40" s="20"/>
      <c r="I40" s="18"/>
      <c r="J40" s="106" t="s">
        <v>87</v>
      </c>
      <c r="K40" s="20"/>
      <c r="L40" s="20" t="s">
        <v>22</v>
      </c>
      <c r="M40" s="20"/>
      <c r="N40" s="20"/>
      <c r="O40" s="20" t="s">
        <v>59</v>
      </c>
    </row>
    <row r="41" spans="1:17" ht="13.8">
      <c r="A41" s="25" t="s">
        <v>77</v>
      </c>
      <c r="B41" s="26"/>
      <c r="C41" s="26"/>
      <c r="D41" s="26"/>
      <c r="E41" s="27" t="s">
        <v>61</v>
      </c>
      <c r="F41" s="27" t="s">
        <v>26</v>
      </c>
      <c r="G41" s="27" t="s">
        <v>70</v>
      </c>
      <c r="H41" s="27" t="s">
        <v>82</v>
      </c>
      <c r="I41" s="27"/>
      <c r="J41" s="27" t="s">
        <v>91</v>
      </c>
      <c r="K41" s="27" t="s">
        <v>80</v>
      </c>
      <c r="L41" s="27" t="s">
        <v>29</v>
      </c>
      <c r="M41" s="29" t="s">
        <v>30</v>
      </c>
      <c r="N41" s="27" t="s">
        <v>62</v>
      </c>
      <c r="O41" s="27" t="s">
        <v>65</v>
      </c>
    </row>
    <row r="42" spans="1:17" ht="14.4">
      <c r="A42" s="18"/>
      <c r="B42" s="170" t="s">
        <v>92</v>
      </c>
      <c r="C42" s="171"/>
      <c r="D42" s="107" t="s">
        <v>93</v>
      </c>
      <c r="E42" s="173" t="s">
        <v>94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1"/>
    </row>
    <row r="43" spans="1:17" ht="13.8">
      <c r="A43" s="18"/>
      <c r="B43" s="20"/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7" ht="13.8">
      <c r="A44" s="22" t="s">
        <v>34</v>
      </c>
      <c r="B44" s="95">
        <v>1662.5</v>
      </c>
      <c r="C44" s="95">
        <v>1615.2</v>
      </c>
      <c r="D44" s="95">
        <f>F44*1000/C44</f>
        <v>3812.7476473501733</v>
      </c>
      <c r="E44" s="95">
        <v>2118.1880000000001</v>
      </c>
      <c r="F44" s="95">
        <v>6158.35</v>
      </c>
      <c r="G44" s="98">
        <v>121.01600000000001</v>
      </c>
      <c r="H44" s="95">
        <f>SUM(E44:G44)</f>
        <v>8397.5540000000001</v>
      </c>
      <c r="I44" s="95"/>
      <c r="J44" s="95">
        <v>3356.6</v>
      </c>
      <c r="K44" s="95">
        <v>872.91017669999985</v>
      </c>
      <c r="L44" s="98">
        <f>N44-J44-K44-M44</f>
        <v>770.55533184840169</v>
      </c>
      <c r="M44" s="98">
        <v>1429.3264914515985</v>
      </c>
      <c r="N44" s="95">
        <f>H44-O44</f>
        <v>6429.3919999999998</v>
      </c>
      <c r="O44" s="95">
        <v>1968.162</v>
      </c>
    </row>
    <row r="45" spans="1:17" ht="16.2">
      <c r="A45" s="22" t="s">
        <v>35</v>
      </c>
      <c r="B45" s="95">
        <v>1580.2</v>
      </c>
      <c r="C45" s="95">
        <v>1540.1</v>
      </c>
      <c r="D45" s="95">
        <f>F45*1000/C45</f>
        <v>4130.4662034932799</v>
      </c>
      <c r="E45" s="95">
        <f>O44</f>
        <v>1968.162</v>
      </c>
      <c r="F45" s="95">
        <v>6361.3310000000001</v>
      </c>
      <c r="G45" s="98">
        <v>107.105</v>
      </c>
      <c r="H45" s="95">
        <f>SUM(E45:G45)</f>
        <v>8436.598</v>
      </c>
      <c r="I45" s="95"/>
      <c r="J45" s="95">
        <v>3313.1</v>
      </c>
      <c r="K45" s="95">
        <v>842.43200000000002</v>
      </c>
      <c r="L45" s="98">
        <f t="shared" ref="L45:L46" si="0">N45-J45-K45-M45</f>
        <v>738.31830540849705</v>
      </c>
      <c r="M45" s="98">
        <v>1182.4906945915034</v>
      </c>
      <c r="N45" s="95">
        <f>H45-O45</f>
        <v>6076.3410000000003</v>
      </c>
      <c r="O45" s="95">
        <v>2360.2570000000001</v>
      </c>
      <c r="P45" s="132"/>
    </row>
    <row r="46" spans="1:17" ht="16.2">
      <c r="A46" s="16" t="s">
        <v>36</v>
      </c>
      <c r="B46" s="99">
        <v>1459.1</v>
      </c>
      <c r="C46" s="99">
        <v>1411.1</v>
      </c>
      <c r="D46" s="99">
        <f>F46*1000/C46</f>
        <v>4089.7172418680466</v>
      </c>
      <c r="E46" s="99">
        <f>O45</f>
        <v>2360.2570000000001</v>
      </c>
      <c r="F46" s="99">
        <v>5771</v>
      </c>
      <c r="G46" s="102">
        <v>110</v>
      </c>
      <c r="H46" s="99">
        <f>SUM(E46:G46)</f>
        <v>8241.2569999999996</v>
      </c>
      <c r="I46" s="99"/>
      <c r="J46" s="99">
        <v>3381.01</v>
      </c>
      <c r="K46" s="99">
        <v>807.94</v>
      </c>
      <c r="L46" s="102">
        <f t="shared" si="0"/>
        <v>747.60134944399988</v>
      </c>
      <c r="M46" s="102">
        <v>1200</v>
      </c>
      <c r="N46" s="99">
        <f>H46-O46</f>
        <v>6136.5513494440002</v>
      </c>
      <c r="O46" s="99">
        <v>2104.7056505559995</v>
      </c>
      <c r="P46" s="132"/>
      <c r="Q46" s="132"/>
    </row>
    <row r="47" spans="1:17" ht="16.2">
      <c r="A47" s="55" t="s">
        <v>84</v>
      </c>
      <c r="B47" s="18"/>
      <c r="C47" s="94"/>
      <c r="D47" s="94"/>
      <c r="E47" s="94"/>
      <c r="F47" s="94"/>
      <c r="G47" s="94"/>
      <c r="H47" s="94"/>
      <c r="I47" s="18"/>
      <c r="J47" s="18"/>
      <c r="K47" s="18"/>
      <c r="L47" s="18"/>
      <c r="M47" s="18"/>
      <c r="N47" s="18"/>
      <c r="O47" s="18"/>
    </row>
    <row r="48" spans="1:17" ht="14.4">
      <c r="A48" s="18" t="s">
        <v>95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4">
      <c r="A49" s="18" t="s">
        <v>86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3.8">
      <c r="A50" s="24" t="s">
        <v>56</v>
      </c>
      <c r="B50" s="108">
        <f>Contents!A16</f>
        <v>44879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44.4" customHeight="1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1:15" ht="15.6">
      <c r="G52" s="81"/>
      <c r="H52" s="81"/>
    </row>
    <row r="53" spans="1:15" ht="15.6">
      <c r="G53" s="81"/>
      <c r="H53" s="81"/>
    </row>
    <row r="54" spans="1:15" ht="15.6">
      <c r="G54" s="81"/>
      <c r="H54" s="81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19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38"/>
  <sheetViews>
    <sheetView showGridLines="0" zoomScale="70" zoomScaleNormal="70" workbookViewId="0"/>
  </sheetViews>
  <sheetFormatPr defaultColWidth="9.109375" defaultRowHeight="13.2"/>
  <cols>
    <col min="1" max="1" width="11.6640625" style="17" customWidth="1"/>
    <col min="2" max="2" width="18.88671875" style="17" bestFit="1" customWidth="1"/>
    <col min="3" max="3" width="22.109375" style="17" bestFit="1" customWidth="1"/>
    <col min="4" max="5" width="25.6640625" style="17" bestFit="1" customWidth="1"/>
    <col min="6" max="6" width="16.6640625" style="17" bestFit="1" customWidth="1"/>
    <col min="7" max="7" width="18.88671875" style="17" bestFit="1" customWidth="1"/>
    <col min="8" max="16384" width="9.109375" style="17"/>
  </cols>
  <sheetData>
    <row r="1" spans="1:8" ht="15.6" customHeight="1">
      <c r="A1" s="16" t="s">
        <v>8</v>
      </c>
      <c r="B1" s="16"/>
      <c r="C1" s="16"/>
      <c r="D1" s="16"/>
      <c r="E1" s="16"/>
      <c r="F1" s="16"/>
      <c r="G1" s="16"/>
      <c r="H1" s="56"/>
    </row>
    <row r="2" spans="1:8" ht="15.6" customHeight="1">
      <c r="A2" s="22" t="s">
        <v>96</v>
      </c>
      <c r="B2" s="39" t="s">
        <v>97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102</v>
      </c>
      <c r="H2" s="56"/>
    </row>
    <row r="3" spans="1:8" ht="15.6" customHeight="1">
      <c r="A3" s="16" t="s">
        <v>103</v>
      </c>
      <c r="B3" s="28"/>
      <c r="C3" s="62"/>
      <c r="D3" s="62"/>
      <c r="E3" s="62"/>
      <c r="F3" s="62"/>
      <c r="G3" s="62"/>
      <c r="H3" s="56"/>
    </row>
    <row r="4" spans="1:8" ht="14.4">
      <c r="A4" s="63"/>
      <c r="B4" s="64" t="s">
        <v>104</v>
      </c>
      <c r="C4" s="64" t="s">
        <v>105</v>
      </c>
      <c r="D4" s="64" t="s">
        <v>106</v>
      </c>
      <c r="E4" s="64" t="s">
        <v>106</v>
      </c>
      <c r="F4" s="64" t="s">
        <v>107</v>
      </c>
      <c r="G4" s="64" t="s">
        <v>104</v>
      </c>
      <c r="H4" s="56"/>
    </row>
    <row r="5" spans="1:8" ht="13.8">
      <c r="A5" s="18"/>
      <c r="B5" s="18"/>
      <c r="C5" s="18"/>
      <c r="D5" s="20"/>
      <c r="E5" s="18"/>
      <c r="F5" s="18"/>
      <c r="G5" s="18"/>
      <c r="H5" s="56"/>
    </row>
    <row r="6" spans="1:8" ht="13.8">
      <c r="A6" s="18" t="s">
        <v>108</v>
      </c>
      <c r="B6" s="65">
        <v>11.3</v>
      </c>
      <c r="C6" s="65">
        <v>161</v>
      </c>
      <c r="D6" s="65">
        <v>23.3</v>
      </c>
      <c r="E6" s="65">
        <v>19.3</v>
      </c>
      <c r="F6" s="65">
        <v>22.5</v>
      </c>
      <c r="G6" s="65">
        <v>12.2</v>
      </c>
      <c r="H6" s="56"/>
    </row>
    <row r="7" spans="1:8" ht="13.8">
      <c r="A7" s="18" t="s">
        <v>109</v>
      </c>
      <c r="B7" s="65">
        <v>12.5</v>
      </c>
      <c r="C7" s="65">
        <v>260</v>
      </c>
      <c r="D7" s="65">
        <v>29.1</v>
      </c>
      <c r="E7" s="65">
        <v>24</v>
      </c>
      <c r="F7" s="65">
        <v>31.8</v>
      </c>
      <c r="G7" s="65">
        <v>13.9</v>
      </c>
      <c r="H7" s="56"/>
    </row>
    <row r="8" spans="1:8" ht="13.8">
      <c r="A8" s="18" t="s">
        <v>110</v>
      </c>
      <c r="B8" s="65">
        <v>14.4</v>
      </c>
      <c r="C8" s="65">
        <v>252</v>
      </c>
      <c r="D8" s="65">
        <v>25.4</v>
      </c>
      <c r="E8" s="65">
        <v>26.5</v>
      </c>
      <c r="F8" s="65">
        <v>30.1</v>
      </c>
      <c r="G8" s="65">
        <v>13.8</v>
      </c>
      <c r="H8" s="56"/>
    </row>
    <row r="9" spans="1:8" ht="13.8">
      <c r="A9" s="18" t="s">
        <v>111</v>
      </c>
      <c r="B9" s="65">
        <v>13</v>
      </c>
      <c r="C9" s="65">
        <v>246</v>
      </c>
      <c r="D9" s="65">
        <v>21.4</v>
      </c>
      <c r="E9" s="65">
        <v>20.6</v>
      </c>
      <c r="F9" s="65">
        <v>24.9</v>
      </c>
      <c r="G9" s="65">
        <v>13.8</v>
      </c>
      <c r="H9" s="56"/>
    </row>
    <row r="10" spans="1:8" ht="13.8">
      <c r="A10" s="18" t="s">
        <v>112</v>
      </c>
      <c r="B10" s="65">
        <v>10.1</v>
      </c>
      <c r="C10" s="65">
        <v>194</v>
      </c>
      <c r="D10" s="65">
        <v>21.7</v>
      </c>
      <c r="E10" s="65">
        <v>16.899999999999999</v>
      </c>
      <c r="F10" s="65">
        <v>22</v>
      </c>
      <c r="G10" s="65">
        <v>11.8</v>
      </c>
      <c r="H10" s="56"/>
    </row>
    <row r="11" spans="1:8" ht="13.8">
      <c r="A11" s="18" t="s">
        <v>113</v>
      </c>
      <c r="B11" s="65">
        <v>8.9499999999999993</v>
      </c>
      <c r="C11" s="65">
        <v>227</v>
      </c>
      <c r="D11" s="65">
        <v>19.600000000000001</v>
      </c>
      <c r="E11" s="65">
        <v>15.6</v>
      </c>
      <c r="F11" s="65">
        <v>19.3</v>
      </c>
      <c r="G11" s="65">
        <v>8.9499999999999993</v>
      </c>
      <c r="H11" s="56"/>
    </row>
    <row r="12" spans="1:8" ht="13.8">
      <c r="A12" s="18" t="s">
        <v>114</v>
      </c>
      <c r="B12" s="65">
        <v>9.4700000000000006</v>
      </c>
      <c r="C12" s="65">
        <v>195</v>
      </c>
      <c r="D12" s="65">
        <v>17.399999999999999</v>
      </c>
      <c r="E12" s="65">
        <v>16.600000000000001</v>
      </c>
      <c r="F12" s="65">
        <v>19.7</v>
      </c>
      <c r="G12" s="65">
        <v>8</v>
      </c>
      <c r="H12" s="56"/>
    </row>
    <row r="13" spans="1:8" ht="13.8">
      <c r="A13" s="18" t="s">
        <v>115</v>
      </c>
      <c r="B13" s="65">
        <v>9.33</v>
      </c>
      <c r="C13" s="65">
        <v>142</v>
      </c>
      <c r="D13" s="65">
        <v>17.2</v>
      </c>
      <c r="E13" s="65">
        <v>17.5</v>
      </c>
      <c r="F13" s="65">
        <v>22.9</v>
      </c>
      <c r="G13" s="65">
        <v>9.5299999999999994</v>
      </c>
      <c r="H13" s="56"/>
    </row>
    <row r="14" spans="1:8" ht="13.8">
      <c r="A14" s="18" t="s">
        <v>116</v>
      </c>
      <c r="B14" s="65">
        <v>8.48</v>
      </c>
      <c r="C14" s="65">
        <v>155</v>
      </c>
      <c r="D14" s="65">
        <v>17.399999999999999</v>
      </c>
      <c r="E14" s="65">
        <v>15.8</v>
      </c>
      <c r="F14" s="65">
        <v>21.5</v>
      </c>
      <c r="G14" s="65">
        <v>9.89</v>
      </c>
      <c r="H14" s="56"/>
    </row>
    <row r="15" spans="1:8" ht="13.8">
      <c r="A15" s="18" t="s">
        <v>117</v>
      </c>
      <c r="B15" s="65">
        <v>8.57</v>
      </c>
      <c r="C15" s="65">
        <v>161</v>
      </c>
      <c r="D15" s="65">
        <v>19.5</v>
      </c>
      <c r="E15" s="65">
        <v>14.8</v>
      </c>
      <c r="F15" s="65">
        <v>20.5</v>
      </c>
      <c r="G15" s="65">
        <v>9.15</v>
      </c>
      <c r="H15" s="56"/>
    </row>
    <row r="16" spans="1:8" ht="13.8">
      <c r="A16" s="18" t="s">
        <v>34</v>
      </c>
      <c r="B16" s="65">
        <v>10.8</v>
      </c>
      <c r="C16" s="65">
        <v>194</v>
      </c>
      <c r="D16" s="65">
        <v>21.3</v>
      </c>
      <c r="E16" s="65">
        <v>18.400000000000002</v>
      </c>
      <c r="F16" s="65">
        <v>21</v>
      </c>
      <c r="G16" s="65">
        <v>11.1</v>
      </c>
      <c r="H16" s="56"/>
    </row>
    <row r="17" spans="1:8" ht="16.2">
      <c r="A17" s="18" t="s">
        <v>118</v>
      </c>
      <c r="B17" s="65">
        <v>13.3</v>
      </c>
      <c r="C17" s="65">
        <v>243</v>
      </c>
      <c r="D17" s="65">
        <v>32.9</v>
      </c>
      <c r="E17" s="65">
        <v>32.9</v>
      </c>
      <c r="F17" s="65">
        <v>24.3</v>
      </c>
      <c r="G17" s="65">
        <v>25.9</v>
      </c>
      <c r="H17" s="56"/>
    </row>
    <row r="18" spans="1:8" ht="16.2">
      <c r="A18" s="18" t="s">
        <v>119</v>
      </c>
      <c r="B18" s="65">
        <v>14</v>
      </c>
      <c r="C18" s="65">
        <v>340</v>
      </c>
      <c r="D18" s="65">
        <v>33.300000000000004</v>
      </c>
      <c r="E18" s="65">
        <v>32</v>
      </c>
      <c r="F18" s="65">
        <v>26.5</v>
      </c>
      <c r="G18" s="65">
        <v>21.5</v>
      </c>
      <c r="H18" s="56"/>
    </row>
    <row r="19" spans="1:8" ht="13.8">
      <c r="A19" s="22"/>
      <c r="B19" s="66"/>
      <c r="C19" s="67"/>
      <c r="D19" s="68"/>
      <c r="E19" s="68"/>
      <c r="F19" s="69"/>
      <c r="G19" s="70"/>
      <c r="H19" s="57"/>
    </row>
    <row r="20" spans="1:8" ht="13.8">
      <c r="A20" s="71" t="s">
        <v>53</v>
      </c>
      <c r="B20" s="65"/>
      <c r="C20" s="65"/>
      <c r="D20" s="65"/>
      <c r="E20" s="65"/>
      <c r="F20" s="65"/>
      <c r="G20" s="65"/>
    </row>
    <row r="21" spans="1:8" ht="13.8">
      <c r="A21" s="22" t="s">
        <v>37</v>
      </c>
      <c r="B21" s="65">
        <v>12.2</v>
      </c>
      <c r="C21" s="65">
        <v>235</v>
      </c>
      <c r="D21" s="65">
        <v>30.7</v>
      </c>
      <c r="E21" s="65">
        <v>28.7</v>
      </c>
      <c r="F21" s="65">
        <v>22.2</v>
      </c>
      <c r="G21" s="65">
        <v>19.8</v>
      </c>
    </row>
    <row r="22" spans="1:8" ht="13.8">
      <c r="A22" s="22" t="s">
        <v>38</v>
      </c>
      <c r="B22" s="65">
        <v>11.9</v>
      </c>
      <c r="C22" s="65">
        <v>244</v>
      </c>
      <c r="D22" s="65">
        <v>30.5</v>
      </c>
      <c r="E22" s="65">
        <v>29.6</v>
      </c>
      <c r="F22" s="65">
        <v>23.9</v>
      </c>
      <c r="G22" s="65">
        <v>26.2</v>
      </c>
    </row>
    <row r="23" spans="1:8" ht="13.8">
      <c r="A23" s="22" t="s">
        <v>39</v>
      </c>
      <c r="B23" s="65">
        <v>12.1</v>
      </c>
      <c r="C23" s="65">
        <v>244</v>
      </c>
      <c r="D23" s="65">
        <v>30.3</v>
      </c>
      <c r="E23" s="65">
        <v>31.7</v>
      </c>
      <c r="F23" s="65">
        <v>25.4</v>
      </c>
      <c r="G23" s="65">
        <v>26.1</v>
      </c>
    </row>
    <row r="24" spans="1:8" ht="13.8">
      <c r="A24" s="22" t="s">
        <v>41</v>
      </c>
      <c r="B24" s="65">
        <v>12.5</v>
      </c>
      <c r="C24" s="65">
        <v>239</v>
      </c>
      <c r="D24" s="65">
        <v>31.6</v>
      </c>
      <c r="E24" s="65">
        <v>32.5</v>
      </c>
      <c r="F24" s="65">
        <v>24.1</v>
      </c>
      <c r="G24" s="65">
        <v>31.3</v>
      </c>
    </row>
    <row r="25" spans="1:8" ht="13.8">
      <c r="A25" s="22" t="s">
        <v>42</v>
      </c>
      <c r="B25" s="65">
        <v>12.9</v>
      </c>
      <c r="C25" s="65">
        <v>241</v>
      </c>
      <c r="D25" s="65">
        <v>31</v>
      </c>
      <c r="E25" s="65">
        <v>33.700000000000003</v>
      </c>
      <c r="F25" s="65">
        <v>25.9</v>
      </c>
      <c r="G25" s="65">
        <v>31</v>
      </c>
    </row>
    <row r="26" spans="1:8" ht="13.8">
      <c r="A26" s="22" t="s">
        <v>43</v>
      </c>
      <c r="B26" s="65">
        <v>14.7</v>
      </c>
      <c r="C26" s="65">
        <v>255</v>
      </c>
      <c r="D26" s="65">
        <v>32.200000000000003</v>
      </c>
      <c r="E26" s="65">
        <v>37.5</v>
      </c>
      <c r="F26" s="65">
        <v>24.8</v>
      </c>
      <c r="G26" s="65">
        <v>27.5</v>
      </c>
    </row>
    <row r="27" spans="1:8" ht="13.8">
      <c r="A27" s="22" t="s">
        <v>45</v>
      </c>
      <c r="B27" s="65">
        <v>15.4</v>
      </c>
      <c r="C27" s="65" t="s">
        <v>75</v>
      </c>
      <c r="D27" s="65">
        <v>33.9</v>
      </c>
      <c r="E27" s="65">
        <v>39.200000000000003</v>
      </c>
      <c r="F27" s="65">
        <v>25</v>
      </c>
      <c r="G27" s="65">
        <v>28.9</v>
      </c>
    </row>
    <row r="28" spans="1:8" ht="13.8">
      <c r="A28" s="22" t="s">
        <v>46</v>
      </c>
      <c r="B28" s="65">
        <v>15.8</v>
      </c>
      <c r="C28" s="65" t="s">
        <v>75</v>
      </c>
      <c r="D28" s="65">
        <v>37.1</v>
      </c>
      <c r="E28" s="65">
        <v>41.3</v>
      </c>
      <c r="F28" s="65">
        <v>24.8</v>
      </c>
      <c r="G28" s="65">
        <v>30.2</v>
      </c>
    </row>
    <row r="29" spans="1:8" ht="13.8">
      <c r="A29" s="22" t="s">
        <v>47</v>
      </c>
      <c r="B29" s="65">
        <v>16.100000000000001</v>
      </c>
      <c r="C29" s="65" t="s">
        <v>75</v>
      </c>
      <c r="D29" s="65">
        <v>40.1</v>
      </c>
      <c r="E29" s="65">
        <v>42.9</v>
      </c>
      <c r="F29" s="65">
        <v>25.3</v>
      </c>
      <c r="G29" s="65">
        <v>29.7</v>
      </c>
    </row>
    <row r="30" spans="1:8" ht="13.8">
      <c r="A30" s="22" t="s">
        <v>49</v>
      </c>
      <c r="B30" s="65">
        <v>16.399999999999999</v>
      </c>
      <c r="C30" s="65" t="s">
        <v>75</v>
      </c>
      <c r="D30" s="65">
        <v>40.200000000000003</v>
      </c>
      <c r="E30" s="65">
        <v>45.6</v>
      </c>
      <c r="F30" s="65">
        <v>25.2</v>
      </c>
      <c r="G30" s="65">
        <v>23.9</v>
      </c>
    </row>
    <row r="31" spans="1:8" ht="13.8">
      <c r="A31" s="22" t="s">
        <v>50</v>
      </c>
      <c r="B31" s="65">
        <v>15.5</v>
      </c>
      <c r="C31" s="65">
        <v>360</v>
      </c>
      <c r="D31" s="65">
        <v>36.200000000000003</v>
      </c>
      <c r="E31" s="65">
        <v>42.7</v>
      </c>
      <c r="F31" s="65">
        <v>25.3</v>
      </c>
      <c r="G31" s="65">
        <v>24.2</v>
      </c>
    </row>
    <row r="32" spans="1:8" ht="13.8">
      <c r="A32" s="22" t="s">
        <v>51</v>
      </c>
      <c r="B32" s="65">
        <f>15.3</f>
        <v>15.3</v>
      </c>
      <c r="C32" s="65">
        <f>343</f>
        <v>343</v>
      </c>
      <c r="D32" s="65">
        <f>37.8</f>
        <v>37.799999999999997</v>
      </c>
      <c r="E32" s="65">
        <f>40</f>
        <v>40</v>
      </c>
      <c r="F32" s="65">
        <f>25</f>
        <v>25</v>
      </c>
      <c r="G32" s="65">
        <f>20.8</f>
        <v>20.8</v>
      </c>
    </row>
    <row r="33" spans="1:7" ht="13.8">
      <c r="A33" s="22"/>
      <c r="B33" s="65"/>
      <c r="C33" s="65"/>
      <c r="D33" s="65"/>
      <c r="E33" s="65"/>
      <c r="F33" s="65"/>
      <c r="G33" s="65"/>
    </row>
    <row r="34" spans="1:7" ht="13.8">
      <c r="A34" s="141" t="s">
        <v>156</v>
      </c>
      <c r="B34" s="65"/>
      <c r="C34" s="65"/>
      <c r="D34" s="65"/>
      <c r="E34" s="65"/>
      <c r="F34" s="65"/>
      <c r="G34" s="65"/>
    </row>
    <row r="35" spans="1:7" ht="13.8">
      <c r="A35" s="16" t="s">
        <v>37</v>
      </c>
      <c r="B35" s="15">
        <v>14.1</v>
      </c>
      <c r="C35" s="15">
        <v>361</v>
      </c>
      <c r="D35" s="15">
        <v>32.9</v>
      </c>
      <c r="E35" s="15">
        <v>28.1</v>
      </c>
      <c r="F35" s="15">
        <v>25.7</v>
      </c>
      <c r="G35" s="15">
        <v>18.899999999999999</v>
      </c>
    </row>
    <row r="36" spans="1:7" ht="16.2">
      <c r="A36" s="18" t="s">
        <v>120</v>
      </c>
      <c r="B36" s="18"/>
      <c r="C36" s="18"/>
      <c r="D36" s="18"/>
      <c r="E36" s="18"/>
      <c r="F36" s="18"/>
      <c r="G36" s="18"/>
    </row>
    <row r="37" spans="1:7" ht="14.4">
      <c r="A37" s="18" t="s">
        <v>121</v>
      </c>
      <c r="B37" s="18"/>
      <c r="C37" s="18"/>
      <c r="D37" s="18"/>
      <c r="E37" s="18"/>
      <c r="F37" s="18"/>
      <c r="G37" s="18"/>
    </row>
    <row r="38" spans="1:7" ht="13.8">
      <c r="A38" s="24" t="s">
        <v>56</v>
      </c>
      <c r="B38" s="47">
        <f>Contents!A16</f>
        <v>44879</v>
      </c>
      <c r="C38" s="18"/>
      <c r="D38" s="18"/>
      <c r="E38" s="18"/>
      <c r="F38" s="18"/>
      <c r="G38" s="18"/>
    </row>
  </sheetData>
  <phoneticPr fontId="19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59"/>
  <sheetViews>
    <sheetView showGridLines="0" zoomScale="70" zoomScaleNormal="70" workbookViewId="0"/>
  </sheetViews>
  <sheetFormatPr defaultColWidth="9.109375" defaultRowHeight="13.2"/>
  <cols>
    <col min="1" max="2" width="11.6640625" style="17" customWidth="1"/>
    <col min="3" max="3" width="11.5546875" style="17" customWidth="1"/>
    <col min="4" max="4" width="13.6640625" style="17" customWidth="1"/>
    <col min="5" max="5" width="11.6640625" style="17" customWidth="1"/>
    <col min="6" max="6" width="11.5546875" style="17" bestFit="1" customWidth="1"/>
    <col min="7" max="7" width="10.6640625" style="17" customWidth="1"/>
    <col min="8" max="8" width="12" style="17" customWidth="1"/>
    <col min="9" max="9" width="13.44140625" style="17" customWidth="1"/>
    <col min="10" max="16384" width="9.109375" style="17"/>
  </cols>
  <sheetData>
    <row r="1" spans="1:12" ht="13.8">
      <c r="A1" s="16" t="s">
        <v>9</v>
      </c>
      <c r="B1" s="16"/>
      <c r="C1" s="16"/>
      <c r="D1" s="16"/>
      <c r="E1" s="16"/>
      <c r="F1" s="16"/>
      <c r="G1" s="16"/>
      <c r="H1" s="16"/>
      <c r="I1" s="18"/>
    </row>
    <row r="2" spans="1:12" ht="15.6" customHeight="1">
      <c r="A2" s="72" t="s">
        <v>96</v>
      </c>
      <c r="B2" s="39" t="s">
        <v>122</v>
      </c>
      <c r="C2" s="39" t="s">
        <v>123</v>
      </c>
      <c r="D2" s="39" t="s">
        <v>124</v>
      </c>
      <c r="E2" s="73" t="s">
        <v>125</v>
      </c>
      <c r="F2" s="73" t="s">
        <v>126</v>
      </c>
      <c r="G2" s="39" t="s">
        <v>127</v>
      </c>
      <c r="H2" s="39" t="s">
        <v>128</v>
      </c>
      <c r="I2" s="74" t="s">
        <v>129</v>
      </c>
    </row>
    <row r="3" spans="1:12" ht="15.6" customHeight="1">
      <c r="A3" s="75" t="s">
        <v>103</v>
      </c>
      <c r="B3" s="27" t="s">
        <v>130</v>
      </c>
      <c r="C3" s="27" t="s">
        <v>131</v>
      </c>
      <c r="D3" s="27" t="s">
        <v>132</v>
      </c>
      <c r="E3" s="27" t="s">
        <v>132</v>
      </c>
      <c r="F3" s="27" t="s">
        <v>133</v>
      </c>
      <c r="G3" s="27" t="s">
        <v>134</v>
      </c>
      <c r="H3" s="27"/>
      <c r="I3" s="27" t="s">
        <v>135</v>
      </c>
    </row>
    <row r="4" spans="1:12" ht="14.4">
      <c r="A4" s="76" t="s">
        <v>136</v>
      </c>
      <c r="C4" s="77"/>
      <c r="D4" s="77"/>
      <c r="E4" s="77"/>
      <c r="F4" s="77"/>
      <c r="G4" s="77"/>
      <c r="H4" s="77"/>
      <c r="I4" s="77"/>
    </row>
    <row r="5" spans="1:12" ht="13.8">
      <c r="A5" s="18"/>
      <c r="B5" s="18"/>
      <c r="C5" s="18"/>
      <c r="D5" s="18"/>
      <c r="E5" s="18"/>
      <c r="F5" s="18"/>
      <c r="G5" s="18"/>
      <c r="H5" s="18"/>
      <c r="I5" s="18"/>
    </row>
    <row r="6" spans="1:12" ht="13.8">
      <c r="A6" s="18" t="s">
        <v>108</v>
      </c>
      <c r="B6" s="65">
        <v>53.2</v>
      </c>
      <c r="C6" s="65">
        <v>54.5</v>
      </c>
      <c r="D6" s="65">
        <v>86.12</v>
      </c>
      <c r="E6" s="65">
        <v>58.68</v>
      </c>
      <c r="F6" s="65">
        <v>77.239999999999995</v>
      </c>
      <c r="G6" s="65">
        <v>60.76</v>
      </c>
      <c r="H6" s="65">
        <v>51.52</v>
      </c>
      <c r="I6" s="65">
        <v>51.34</v>
      </c>
      <c r="K6" s="82"/>
      <c r="L6" s="82"/>
    </row>
    <row r="7" spans="1:12" ht="13.8">
      <c r="A7" s="18" t="s">
        <v>109</v>
      </c>
      <c r="B7" s="65">
        <v>51.9</v>
      </c>
      <c r="C7" s="65">
        <v>53.22</v>
      </c>
      <c r="D7" s="65">
        <v>83.2</v>
      </c>
      <c r="E7" s="65">
        <v>57.19</v>
      </c>
      <c r="F7" s="65">
        <v>100.15</v>
      </c>
      <c r="G7" s="65">
        <v>56.09</v>
      </c>
      <c r="H7" s="65">
        <v>48.11</v>
      </c>
      <c r="I7" s="65">
        <v>50.33</v>
      </c>
      <c r="K7" s="82"/>
      <c r="L7" s="82"/>
    </row>
    <row r="8" spans="1:12" ht="13.8">
      <c r="A8" s="18" t="s">
        <v>110</v>
      </c>
      <c r="B8" s="65">
        <v>47.13</v>
      </c>
      <c r="C8" s="65">
        <v>48.6</v>
      </c>
      <c r="D8" s="65">
        <v>65.87</v>
      </c>
      <c r="E8" s="65">
        <v>56.17</v>
      </c>
      <c r="F8" s="65">
        <v>91.83</v>
      </c>
      <c r="G8" s="65">
        <v>46.66</v>
      </c>
      <c r="H8" s="65">
        <v>51.8</v>
      </c>
      <c r="I8" s="65">
        <v>43.24</v>
      </c>
      <c r="K8" s="82"/>
      <c r="L8" s="82"/>
    </row>
    <row r="9" spans="1:12" ht="13.8">
      <c r="A9" s="18" t="s">
        <v>111</v>
      </c>
      <c r="B9" s="65">
        <v>38.229999999999997</v>
      </c>
      <c r="C9" s="65">
        <v>60.66</v>
      </c>
      <c r="D9" s="65">
        <v>59.12</v>
      </c>
      <c r="E9" s="65">
        <v>43.7</v>
      </c>
      <c r="F9" s="65">
        <v>68.23</v>
      </c>
      <c r="G9" s="65">
        <v>39.43</v>
      </c>
      <c r="H9" s="65">
        <v>43.93</v>
      </c>
      <c r="I9" s="65">
        <v>39.76</v>
      </c>
      <c r="K9" s="82"/>
      <c r="L9" s="82"/>
    </row>
    <row r="10" spans="1:12" ht="13.8">
      <c r="A10" s="18" t="s">
        <v>112</v>
      </c>
      <c r="B10" s="65">
        <v>31.6</v>
      </c>
      <c r="C10" s="65">
        <v>45.74</v>
      </c>
      <c r="D10" s="65">
        <v>66.72</v>
      </c>
      <c r="E10" s="65">
        <v>37.81</v>
      </c>
      <c r="F10" s="65">
        <v>57.96</v>
      </c>
      <c r="G10" s="65">
        <v>37.479999999999997</v>
      </c>
      <c r="H10" s="65">
        <v>33.43</v>
      </c>
      <c r="I10" s="65">
        <v>31.36</v>
      </c>
      <c r="K10" s="82"/>
      <c r="L10" s="82"/>
    </row>
    <row r="11" spans="1:12" ht="13.8">
      <c r="A11" s="18" t="s">
        <v>113</v>
      </c>
      <c r="B11" s="65">
        <v>29.86</v>
      </c>
      <c r="C11" s="65">
        <v>45.87</v>
      </c>
      <c r="D11" s="65">
        <v>57.81</v>
      </c>
      <c r="E11" s="65">
        <v>35.270000000000003</v>
      </c>
      <c r="F11" s="65">
        <v>58.26</v>
      </c>
      <c r="G11" s="65">
        <v>39.25</v>
      </c>
      <c r="H11" s="65">
        <v>32.229999999999997</v>
      </c>
      <c r="I11" s="65">
        <v>30.07</v>
      </c>
      <c r="K11" s="82"/>
      <c r="L11" s="82"/>
    </row>
    <row r="12" spans="1:12" ht="13.8">
      <c r="A12" s="18" t="s">
        <v>114</v>
      </c>
      <c r="B12" s="65">
        <v>32.549999999999997</v>
      </c>
      <c r="C12" s="65">
        <v>40.92</v>
      </c>
      <c r="D12" s="65">
        <v>53.54</v>
      </c>
      <c r="E12" s="65">
        <v>38.729999999999997</v>
      </c>
      <c r="F12" s="65">
        <v>66.73</v>
      </c>
      <c r="G12" s="65">
        <v>37.43</v>
      </c>
      <c r="H12" s="65">
        <v>33.07</v>
      </c>
      <c r="I12" s="65">
        <v>34.75</v>
      </c>
      <c r="K12" s="82"/>
      <c r="L12" s="82"/>
    </row>
    <row r="13" spans="1:12" ht="13.8">
      <c r="A13" s="18" t="s">
        <v>115</v>
      </c>
      <c r="B13" s="65">
        <v>30.04</v>
      </c>
      <c r="C13" s="65">
        <v>31.87</v>
      </c>
      <c r="D13" s="65">
        <v>54.57</v>
      </c>
      <c r="E13" s="65">
        <v>38.270000000000003</v>
      </c>
      <c r="F13" s="65">
        <v>66.72</v>
      </c>
      <c r="G13" s="65">
        <v>30.35</v>
      </c>
      <c r="H13" s="65">
        <v>34.159999999999997</v>
      </c>
      <c r="I13" s="65">
        <v>31.21</v>
      </c>
      <c r="K13" s="82"/>
      <c r="L13" s="82"/>
    </row>
    <row r="14" spans="1:12" ht="13.8">
      <c r="A14" s="18" t="s">
        <v>116</v>
      </c>
      <c r="B14" s="65">
        <v>28.26</v>
      </c>
      <c r="C14" s="65">
        <v>35.14</v>
      </c>
      <c r="D14" s="65">
        <v>53.28</v>
      </c>
      <c r="E14" s="65">
        <v>36.090000000000003</v>
      </c>
      <c r="F14" s="65">
        <v>64.72</v>
      </c>
      <c r="G14" s="65">
        <v>26.93</v>
      </c>
      <c r="H14" s="65">
        <v>31.65</v>
      </c>
      <c r="I14" s="65">
        <v>33.11</v>
      </c>
      <c r="K14" s="82"/>
      <c r="L14" s="82"/>
    </row>
    <row r="15" spans="1:12" ht="13.8">
      <c r="A15" s="18" t="s">
        <v>117</v>
      </c>
      <c r="B15" s="65">
        <v>29.65</v>
      </c>
      <c r="C15" s="65">
        <v>40.18</v>
      </c>
      <c r="D15" s="65">
        <v>65.03</v>
      </c>
      <c r="E15" s="65">
        <v>37.869999999999997</v>
      </c>
      <c r="F15" s="65">
        <v>62</v>
      </c>
      <c r="G15" s="65">
        <v>39.47</v>
      </c>
      <c r="H15" s="65">
        <v>35.75</v>
      </c>
      <c r="I15" s="65">
        <v>38.369999999999997</v>
      </c>
      <c r="K15" s="82"/>
      <c r="L15" s="82"/>
    </row>
    <row r="16" spans="1:12" ht="13.8">
      <c r="A16" s="18" t="s">
        <v>34</v>
      </c>
      <c r="B16" s="65">
        <v>56.87</v>
      </c>
      <c r="C16" s="65">
        <v>80.94</v>
      </c>
      <c r="D16" s="65">
        <v>79</v>
      </c>
      <c r="E16" s="65">
        <v>70.459999999999994</v>
      </c>
      <c r="F16" s="65">
        <v>101.4</v>
      </c>
      <c r="G16" s="65">
        <v>53.88</v>
      </c>
      <c r="H16" s="65">
        <v>55.89</v>
      </c>
      <c r="I16" s="65">
        <v>54.98</v>
      </c>
      <c r="K16" s="82"/>
      <c r="L16" s="82"/>
    </row>
    <row r="17" spans="1:12" ht="16.2">
      <c r="A17" s="18" t="s">
        <v>137</v>
      </c>
      <c r="B17" s="65">
        <v>73</v>
      </c>
      <c r="C17" s="65">
        <v>107.15</v>
      </c>
      <c r="D17" s="65">
        <v>111.39</v>
      </c>
      <c r="E17" s="65">
        <v>90.52</v>
      </c>
      <c r="F17" s="65">
        <v>107</v>
      </c>
      <c r="G17" s="65">
        <v>64.28</v>
      </c>
      <c r="H17" s="65">
        <v>82</v>
      </c>
      <c r="I17" s="65">
        <v>81.84</v>
      </c>
      <c r="J17" s="120"/>
      <c r="K17" s="82"/>
      <c r="L17" s="82"/>
    </row>
    <row r="18" spans="1:12" ht="16.2">
      <c r="A18" s="18" t="s">
        <v>138</v>
      </c>
      <c r="B18" s="65">
        <v>69</v>
      </c>
      <c r="C18" s="65">
        <v>100</v>
      </c>
      <c r="D18" s="65">
        <v>99</v>
      </c>
      <c r="E18" s="65">
        <v>79</v>
      </c>
      <c r="F18" s="65">
        <v>104</v>
      </c>
      <c r="G18" s="65">
        <v>63</v>
      </c>
      <c r="H18" s="65">
        <v>82</v>
      </c>
      <c r="I18" s="65">
        <v>82</v>
      </c>
      <c r="J18" s="120"/>
      <c r="K18" s="82"/>
      <c r="L18" s="82"/>
    </row>
    <row r="19" spans="1:12" ht="13.8">
      <c r="A19" s="18"/>
      <c r="B19" s="78"/>
      <c r="C19" s="78"/>
      <c r="D19" s="78"/>
      <c r="E19" s="78"/>
      <c r="F19" s="78"/>
      <c r="G19" s="78"/>
      <c r="H19" s="78"/>
      <c r="I19" s="78"/>
    </row>
    <row r="20" spans="1:12" ht="13.8">
      <c r="A20" s="52" t="s">
        <v>53</v>
      </c>
      <c r="B20" s="65"/>
      <c r="C20" s="65"/>
      <c r="D20" s="65"/>
      <c r="E20" s="65"/>
      <c r="F20" s="65"/>
      <c r="G20" s="65"/>
      <c r="H20" s="65"/>
      <c r="I20" s="65"/>
      <c r="L20" s="120"/>
    </row>
    <row r="21" spans="1:12" ht="13.8">
      <c r="A21" s="22" t="s">
        <v>38</v>
      </c>
      <c r="B21" s="65">
        <v>70.42</v>
      </c>
      <c r="C21" s="65">
        <v>98.5</v>
      </c>
      <c r="D21" s="65">
        <v>129</v>
      </c>
      <c r="E21" s="65">
        <v>82.3</v>
      </c>
      <c r="F21" s="65">
        <v>101.5</v>
      </c>
      <c r="G21" s="65">
        <v>57.069999999999993</v>
      </c>
      <c r="H21" s="65" t="s">
        <v>75</v>
      </c>
      <c r="I21" s="65" t="s">
        <v>75</v>
      </c>
      <c r="K21" s="124"/>
      <c r="L21" s="123"/>
    </row>
    <row r="22" spans="1:12" ht="13.8">
      <c r="A22" s="22" t="s">
        <v>39</v>
      </c>
      <c r="B22" s="65">
        <v>66.459999999999994</v>
      </c>
      <c r="C22" s="65">
        <v>96.75</v>
      </c>
      <c r="D22" s="65">
        <v>125</v>
      </c>
      <c r="E22" s="65">
        <v>84.375</v>
      </c>
      <c r="F22" s="65">
        <v>100</v>
      </c>
      <c r="G22" s="65">
        <v>57.918000000000006</v>
      </c>
      <c r="H22" s="65" t="s">
        <v>75</v>
      </c>
      <c r="I22" s="65">
        <v>80.06</v>
      </c>
      <c r="K22" s="124"/>
      <c r="L22" s="124"/>
    </row>
    <row r="23" spans="1:12" ht="13.8">
      <c r="A23" s="22" t="s">
        <v>41</v>
      </c>
      <c r="B23" s="65">
        <v>63.69</v>
      </c>
      <c r="C23" s="65">
        <v>93.3</v>
      </c>
      <c r="D23" s="65">
        <v>125</v>
      </c>
      <c r="E23" s="65">
        <v>82.95</v>
      </c>
      <c r="F23" s="65">
        <v>100</v>
      </c>
      <c r="G23" s="65">
        <v>56.093333333333334</v>
      </c>
      <c r="H23" s="65" t="s">
        <v>75</v>
      </c>
      <c r="I23" s="65">
        <v>73</v>
      </c>
      <c r="K23" s="124"/>
      <c r="L23" s="124"/>
    </row>
    <row r="24" spans="1:12" ht="13.8">
      <c r="A24" s="22" t="s">
        <v>42</v>
      </c>
      <c r="B24" s="65">
        <v>65.7</v>
      </c>
      <c r="C24" s="65">
        <v>97.9375</v>
      </c>
      <c r="D24" s="65">
        <v>123.125</v>
      </c>
      <c r="E24" s="65">
        <v>88.5625</v>
      </c>
      <c r="F24" s="65">
        <v>103.125</v>
      </c>
      <c r="G24" s="65">
        <v>54.09</v>
      </c>
      <c r="H24" s="65" t="s">
        <v>75</v>
      </c>
      <c r="I24" s="65">
        <v>76.5</v>
      </c>
      <c r="K24" s="126"/>
    </row>
    <row r="25" spans="1:12" ht="13.8">
      <c r="A25" s="22" t="s">
        <v>43</v>
      </c>
      <c r="B25" s="65">
        <v>70.91</v>
      </c>
      <c r="C25" s="65">
        <v>101.375</v>
      </c>
      <c r="D25" s="65">
        <v>115.33333333333333</v>
      </c>
      <c r="E25" s="65">
        <v>85.875</v>
      </c>
      <c r="F25" s="65">
        <v>105</v>
      </c>
      <c r="G25" s="65">
        <v>59.29</v>
      </c>
      <c r="H25" s="65">
        <v>82</v>
      </c>
      <c r="I25" s="65">
        <v>80</v>
      </c>
    </row>
    <row r="26" spans="1:12" ht="13.8">
      <c r="A26" s="22" t="s">
        <v>45</v>
      </c>
      <c r="B26" s="65">
        <v>76.405000000000001</v>
      </c>
      <c r="C26" s="65">
        <v>114.875</v>
      </c>
      <c r="D26" s="65">
        <v>129</v>
      </c>
      <c r="E26" s="65">
        <v>92</v>
      </c>
      <c r="F26" s="65">
        <v>107.5</v>
      </c>
      <c r="G26" s="65">
        <v>67.1875</v>
      </c>
      <c r="H26" s="65" t="s">
        <v>75</v>
      </c>
      <c r="I26" s="65">
        <v>81.5</v>
      </c>
    </row>
    <row r="27" spans="1:12" ht="13.8">
      <c r="A27" s="22" t="s">
        <v>46</v>
      </c>
      <c r="B27" s="65">
        <v>83.846000000000004</v>
      </c>
      <c r="C27" s="65">
        <v>120.05</v>
      </c>
      <c r="D27" s="65">
        <v>120.4</v>
      </c>
      <c r="E27" s="65">
        <v>103.15</v>
      </c>
      <c r="F27" s="65">
        <v>115</v>
      </c>
      <c r="G27" s="65">
        <v>71.55</v>
      </c>
      <c r="H27" s="65" t="s">
        <v>75</v>
      </c>
      <c r="I27" s="65">
        <v>83.125</v>
      </c>
    </row>
    <row r="28" spans="1:12" ht="13.8">
      <c r="A28" s="22" t="s">
        <v>47</v>
      </c>
      <c r="B28" s="65">
        <v>87.385000000000005</v>
      </c>
      <c r="C28" s="65">
        <v>119.5625</v>
      </c>
      <c r="D28" s="65">
        <v>113.5</v>
      </c>
      <c r="E28" s="65">
        <v>108.6875</v>
      </c>
      <c r="F28" s="65">
        <v>116.25</v>
      </c>
      <c r="G28" s="65">
        <v>77.802499999999995</v>
      </c>
      <c r="H28" s="65" t="s">
        <v>75</v>
      </c>
      <c r="I28" s="65">
        <v>84.25</v>
      </c>
    </row>
    <row r="29" spans="1:12" ht="13.8">
      <c r="A29" s="22" t="s">
        <v>49</v>
      </c>
      <c r="B29" s="65">
        <v>80.297499999999999</v>
      </c>
      <c r="C29" s="65">
        <v>115.75</v>
      </c>
      <c r="D29" s="65">
        <v>97.75</v>
      </c>
      <c r="E29" s="65">
        <v>102.25</v>
      </c>
      <c r="F29" s="65">
        <v>116.25</v>
      </c>
      <c r="G29" s="65">
        <v>76.375</v>
      </c>
      <c r="H29" s="65" t="s">
        <v>75</v>
      </c>
      <c r="I29" s="65">
        <v>86.5</v>
      </c>
    </row>
    <row r="30" spans="1:12" ht="13.8">
      <c r="A30" s="22" t="s">
        <v>50</v>
      </c>
      <c r="B30" s="65">
        <v>67.74799999999999</v>
      </c>
      <c r="C30" s="65">
        <v>100.8</v>
      </c>
      <c r="D30" s="65">
        <v>78.2</v>
      </c>
      <c r="E30" s="65">
        <v>87.9</v>
      </c>
      <c r="F30" s="65">
        <v>103.2</v>
      </c>
      <c r="G30" s="65">
        <v>62.25</v>
      </c>
      <c r="H30" s="65" t="s">
        <v>75</v>
      </c>
      <c r="I30" s="65">
        <v>81.5</v>
      </c>
    </row>
    <row r="31" spans="1:12" ht="13.8">
      <c r="A31" s="22" t="s">
        <v>51</v>
      </c>
      <c r="B31" s="65">
        <v>72.334999999999994</v>
      </c>
      <c r="C31" s="65">
        <v>113.75</v>
      </c>
      <c r="D31" s="65">
        <v>92</v>
      </c>
      <c r="E31" s="65">
        <v>91.3125</v>
      </c>
      <c r="F31" s="65">
        <v>107.25</v>
      </c>
      <c r="G31" s="65">
        <v>65.4375</v>
      </c>
      <c r="H31" s="65" t="s">
        <v>75</v>
      </c>
      <c r="I31" s="65" t="s">
        <v>75</v>
      </c>
    </row>
    <row r="32" spans="1:12" ht="13.8">
      <c r="A32" s="22" t="s">
        <v>37</v>
      </c>
      <c r="B32" s="65">
        <v>70.626000000000005</v>
      </c>
      <c r="C32" s="65">
        <v>113.2</v>
      </c>
      <c r="D32" s="65">
        <v>88.4</v>
      </c>
      <c r="E32" s="65">
        <v>76.849999999999994</v>
      </c>
      <c r="F32" s="65">
        <v>111.6</v>
      </c>
      <c r="G32" s="65">
        <v>66.263999999999996</v>
      </c>
      <c r="H32" s="65" t="s">
        <v>75</v>
      </c>
      <c r="I32" s="65">
        <v>92</v>
      </c>
      <c r="K32" s="82"/>
      <c r="L32" s="82"/>
    </row>
    <row r="33" spans="1:12" ht="13.8">
      <c r="A33" s="22"/>
      <c r="B33" s="65"/>
      <c r="C33" s="65"/>
      <c r="D33" s="65"/>
      <c r="E33" s="65"/>
      <c r="F33" s="65"/>
      <c r="G33" s="65"/>
      <c r="H33" s="65"/>
      <c r="I33" s="65"/>
      <c r="K33" s="82"/>
      <c r="L33" s="82"/>
    </row>
    <row r="34" spans="1:12" ht="13.8">
      <c r="A34" s="52" t="s">
        <v>156</v>
      </c>
      <c r="B34" s="65"/>
      <c r="C34" s="65"/>
      <c r="D34" s="65"/>
      <c r="E34" s="65"/>
      <c r="F34" s="65"/>
      <c r="G34" s="65"/>
      <c r="H34" s="65"/>
      <c r="I34" s="65"/>
      <c r="K34" s="82"/>
      <c r="L34" s="82"/>
    </row>
    <row r="35" spans="1:12" ht="13.8">
      <c r="A35" s="16" t="s">
        <v>38</v>
      </c>
      <c r="B35" s="15">
        <v>72.67</v>
      </c>
      <c r="C35" s="15">
        <v>110.1875</v>
      </c>
      <c r="D35" s="15">
        <v>93.75</v>
      </c>
      <c r="E35" s="15">
        <v>80.125</v>
      </c>
      <c r="F35" s="15">
        <v>107.75</v>
      </c>
      <c r="G35" s="15">
        <v>65.412499999999994</v>
      </c>
      <c r="H35" s="15">
        <v>88</v>
      </c>
      <c r="I35" s="15">
        <v>88.5</v>
      </c>
      <c r="K35" s="82"/>
      <c r="L35" s="82"/>
    </row>
    <row r="36" spans="1:12" ht="16.2">
      <c r="A36" s="55" t="s">
        <v>139</v>
      </c>
      <c r="B36" s="80"/>
      <c r="C36" s="80"/>
      <c r="D36" s="80"/>
      <c r="E36" s="80"/>
      <c r="F36" s="80"/>
      <c r="G36" s="80"/>
      <c r="H36" s="80"/>
      <c r="I36" s="80"/>
    </row>
    <row r="37" spans="1:12" ht="16.2">
      <c r="A37" s="18" t="s">
        <v>140</v>
      </c>
      <c r="B37" s="80"/>
      <c r="C37" s="80"/>
      <c r="D37" s="80"/>
      <c r="E37" s="80"/>
      <c r="F37" s="80"/>
      <c r="G37" s="80"/>
      <c r="H37" s="80"/>
      <c r="I37" s="80"/>
    </row>
    <row r="38" spans="1:12" ht="14.4">
      <c r="A38" s="18" t="s">
        <v>141</v>
      </c>
      <c r="B38" s="18"/>
      <c r="C38" s="18"/>
      <c r="D38" s="18"/>
      <c r="E38" s="18"/>
      <c r="F38" s="80"/>
      <c r="G38" s="18"/>
      <c r="H38" s="18"/>
      <c r="I38" s="18"/>
    </row>
    <row r="39" spans="1:12" ht="13.8">
      <c r="A39" s="24" t="s">
        <v>56</v>
      </c>
      <c r="B39" s="47">
        <f>Contents!A16</f>
        <v>44879</v>
      </c>
      <c r="C39" s="18"/>
      <c r="D39" s="18"/>
      <c r="E39" s="18"/>
      <c r="F39" s="18"/>
      <c r="G39" s="18"/>
      <c r="H39" s="18"/>
      <c r="I39" s="18"/>
    </row>
    <row r="40" spans="1:12" ht="15.6">
      <c r="C40" s="81"/>
      <c r="G40" s="81"/>
      <c r="H40" s="81"/>
      <c r="I40" s="81"/>
    </row>
    <row r="41" spans="1:12" ht="15.6">
      <c r="B41" s="82"/>
      <c r="C41" s="82"/>
      <c r="D41" s="82"/>
      <c r="E41" s="82"/>
      <c r="F41" s="82"/>
      <c r="G41" s="82"/>
      <c r="H41" s="81"/>
      <c r="I41" s="81"/>
    </row>
    <row r="42" spans="1:12" ht="15.6">
      <c r="B42" s="125"/>
      <c r="C42" s="125"/>
      <c r="D42" s="125"/>
      <c r="E42" s="125"/>
      <c r="F42" s="125"/>
      <c r="G42" s="125"/>
      <c r="H42" s="81"/>
      <c r="I42" s="81"/>
    </row>
    <row r="43" spans="1:12" ht="15.6">
      <c r="C43" s="81"/>
      <c r="G43" s="81"/>
      <c r="H43" s="81"/>
      <c r="I43" s="81"/>
    </row>
    <row r="44" spans="1:12" ht="15.6">
      <c r="C44" s="81"/>
      <c r="G44" s="81"/>
      <c r="H44" s="81"/>
      <c r="I44" s="81"/>
    </row>
    <row r="45" spans="1:12" ht="15.6">
      <c r="C45" s="81"/>
      <c r="G45" s="81"/>
      <c r="H45" s="81"/>
      <c r="I45" s="81"/>
    </row>
    <row r="46" spans="1:12" ht="15.6">
      <c r="C46" s="81"/>
      <c r="G46" s="81"/>
      <c r="H46" s="81"/>
      <c r="I46" s="81"/>
    </row>
    <row r="47" spans="1:12" ht="15.6">
      <c r="C47" s="81"/>
      <c r="G47" s="81"/>
      <c r="H47" s="81"/>
      <c r="I47" s="81"/>
    </row>
    <row r="48" spans="1:12" ht="15.6">
      <c r="C48" s="81"/>
      <c r="G48" s="81"/>
      <c r="H48" s="81"/>
      <c r="I48" s="81"/>
    </row>
    <row r="49" spans="3:9" ht="15.6">
      <c r="C49" s="81"/>
      <c r="G49" s="81"/>
      <c r="H49" s="81"/>
      <c r="I49" s="81"/>
    </row>
    <row r="50" spans="3:9" ht="15.6">
      <c r="C50" s="81"/>
      <c r="G50" s="81"/>
      <c r="H50" s="81"/>
      <c r="I50" s="81"/>
    </row>
    <row r="51" spans="3:9" ht="15.6">
      <c r="C51" s="81"/>
      <c r="G51" s="81"/>
      <c r="H51" s="81"/>
      <c r="I51" s="81"/>
    </row>
    <row r="52" spans="3:9" ht="15.6">
      <c r="C52" s="81"/>
      <c r="G52" s="81"/>
      <c r="H52" s="81"/>
      <c r="I52" s="81"/>
    </row>
    <row r="53" spans="3:9" ht="15.6">
      <c r="C53" s="81"/>
      <c r="G53" s="81"/>
      <c r="H53" s="81"/>
      <c r="I53" s="81"/>
    </row>
    <row r="54" spans="3:9" ht="15.6">
      <c r="C54" s="81"/>
      <c r="G54" s="81"/>
      <c r="H54" s="81"/>
      <c r="I54" s="81"/>
    </row>
    <row r="55" spans="3:9" ht="15.6">
      <c r="C55" s="81"/>
      <c r="G55" s="81"/>
      <c r="H55" s="81"/>
      <c r="I55" s="81"/>
    </row>
    <row r="56" spans="3:9" ht="15.6">
      <c r="C56" s="81"/>
      <c r="H56" s="81"/>
      <c r="I56" s="81"/>
    </row>
    <row r="57" spans="3:9" ht="15.6">
      <c r="C57" s="81"/>
      <c r="H57" s="81"/>
      <c r="I57" s="81"/>
    </row>
    <row r="58" spans="3:9" ht="15.6">
      <c r="C58" s="81"/>
      <c r="F58" s="82"/>
      <c r="H58" s="81"/>
      <c r="I58" s="81"/>
    </row>
    <row r="59" spans="3:9" ht="15.6">
      <c r="F59" s="82"/>
      <c r="H59" s="81"/>
      <c r="I59" s="81"/>
    </row>
  </sheetData>
  <phoneticPr fontId="19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49"/>
  <sheetViews>
    <sheetView showGridLines="0" zoomScale="70" zoomScaleNormal="70" workbookViewId="0"/>
  </sheetViews>
  <sheetFormatPr defaultColWidth="9.109375" defaultRowHeight="13.2"/>
  <cols>
    <col min="1" max="1" width="11.6640625" style="17" customWidth="1"/>
    <col min="2" max="7" width="13.6640625" style="17" customWidth="1"/>
    <col min="8" max="8" width="10.109375" style="17" bestFit="1" customWidth="1"/>
    <col min="9" max="10" width="9.109375" style="17"/>
    <col min="11" max="11" width="8.88671875" style="17" customWidth="1"/>
    <col min="12" max="12" width="18" style="17" bestFit="1" customWidth="1"/>
    <col min="13" max="16384" width="9.109375" style="17"/>
  </cols>
  <sheetData>
    <row r="1" spans="1:28" ht="13.8">
      <c r="A1" s="16" t="s">
        <v>10</v>
      </c>
      <c r="B1" s="16"/>
      <c r="C1" s="16"/>
      <c r="D1" s="16"/>
      <c r="E1" s="16"/>
      <c r="F1" s="16"/>
      <c r="G1" s="16"/>
    </row>
    <row r="2" spans="1:28" ht="15.6" customHeight="1">
      <c r="A2" s="22" t="s">
        <v>96</v>
      </c>
      <c r="B2" s="39" t="s">
        <v>122</v>
      </c>
      <c r="C2" s="83" t="s">
        <v>123</v>
      </c>
      <c r="D2" s="83" t="s">
        <v>124</v>
      </c>
      <c r="E2" s="83" t="s">
        <v>126</v>
      </c>
      <c r="F2" s="39" t="s">
        <v>142</v>
      </c>
      <c r="G2" s="20" t="s">
        <v>143</v>
      </c>
      <c r="AB2" s="84"/>
    </row>
    <row r="3" spans="1:28" ht="15.6" customHeight="1">
      <c r="A3" s="16" t="s">
        <v>103</v>
      </c>
      <c r="B3" s="27" t="s">
        <v>144</v>
      </c>
      <c r="C3" s="27" t="s">
        <v>145</v>
      </c>
      <c r="D3" s="27" t="s">
        <v>146</v>
      </c>
      <c r="E3" s="27" t="s">
        <v>147</v>
      </c>
      <c r="F3" s="27" t="s">
        <v>148</v>
      </c>
      <c r="G3" s="27" t="s">
        <v>149</v>
      </c>
      <c r="AB3" s="84"/>
    </row>
    <row r="4" spans="1:28" ht="14.4">
      <c r="A4" s="76" t="s">
        <v>150</v>
      </c>
      <c r="C4" s="77"/>
      <c r="D4" s="77"/>
      <c r="E4" s="77"/>
      <c r="F4" s="77"/>
      <c r="G4" s="77"/>
      <c r="AB4" s="84"/>
    </row>
    <row r="5" spans="1:28" ht="13.8">
      <c r="A5" s="18"/>
      <c r="B5" s="18"/>
      <c r="C5" s="18"/>
      <c r="D5" s="18"/>
      <c r="E5" s="18"/>
      <c r="F5" s="18"/>
      <c r="G5" s="18"/>
      <c r="AB5" s="84"/>
    </row>
    <row r="6" spans="1:28" ht="13.8">
      <c r="A6" s="18" t="s">
        <v>108</v>
      </c>
      <c r="B6" s="65">
        <v>345.52</v>
      </c>
      <c r="C6" s="65">
        <v>273.83999999999997</v>
      </c>
      <c r="D6" s="65">
        <v>219.72</v>
      </c>
      <c r="E6" s="85" t="s">
        <v>75</v>
      </c>
      <c r="F6" s="65">
        <v>263.63</v>
      </c>
      <c r="G6" s="65">
        <v>240.65</v>
      </c>
      <c r="AB6" s="84"/>
    </row>
    <row r="7" spans="1:28" ht="13.8">
      <c r="A7" s="18" t="s">
        <v>109</v>
      </c>
      <c r="B7" s="65">
        <v>393.53</v>
      </c>
      <c r="C7" s="65">
        <v>275.13</v>
      </c>
      <c r="D7" s="65">
        <v>246.75</v>
      </c>
      <c r="E7" s="85" t="s">
        <v>75</v>
      </c>
      <c r="F7" s="65">
        <v>307.58999999999997</v>
      </c>
      <c r="G7" s="65">
        <v>265.68</v>
      </c>
      <c r="AB7" s="84"/>
    </row>
    <row r="8" spans="1:28" ht="13.8">
      <c r="A8" s="18" t="s">
        <v>110</v>
      </c>
      <c r="B8" s="65">
        <v>468.11</v>
      </c>
      <c r="C8" s="65">
        <v>331.52</v>
      </c>
      <c r="D8" s="65">
        <v>241.57</v>
      </c>
      <c r="E8" s="85" t="s">
        <v>75</v>
      </c>
      <c r="F8" s="65">
        <v>354.22</v>
      </c>
      <c r="G8" s="65">
        <v>329.31</v>
      </c>
      <c r="AB8" s="84"/>
    </row>
    <row r="9" spans="1:28" ht="13.8">
      <c r="A9" s="18" t="s">
        <v>111</v>
      </c>
      <c r="B9" s="65">
        <v>489.94</v>
      </c>
      <c r="C9" s="65">
        <v>377.71</v>
      </c>
      <c r="D9" s="65">
        <v>238.87</v>
      </c>
      <c r="E9" s="85" t="s">
        <v>75</v>
      </c>
      <c r="F9" s="65">
        <v>359.7</v>
      </c>
      <c r="G9" s="65">
        <v>337.23</v>
      </c>
      <c r="AB9" s="84"/>
    </row>
    <row r="10" spans="1:28" ht="13.8">
      <c r="A10" s="18" t="s">
        <v>112</v>
      </c>
      <c r="B10" s="65">
        <v>368.49</v>
      </c>
      <c r="C10" s="65">
        <v>304.27</v>
      </c>
      <c r="D10" s="65">
        <v>209.97</v>
      </c>
      <c r="E10" s="85" t="s">
        <v>75</v>
      </c>
      <c r="F10" s="65">
        <v>301.2</v>
      </c>
      <c r="G10" s="65">
        <v>256.58</v>
      </c>
      <c r="AB10" s="84"/>
    </row>
    <row r="11" spans="1:28" ht="13.8">
      <c r="A11" s="18" t="s">
        <v>113</v>
      </c>
      <c r="B11" s="65">
        <v>324.56</v>
      </c>
      <c r="C11" s="65">
        <v>261.19</v>
      </c>
      <c r="D11" s="65">
        <v>153.16999999999999</v>
      </c>
      <c r="E11" s="85" t="s">
        <v>75</v>
      </c>
      <c r="F11" s="65">
        <v>262.2</v>
      </c>
      <c r="G11" s="65">
        <v>260.23</v>
      </c>
      <c r="AB11" s="84"/>
    </row>
    <row r="12" spans="1:28" ht="13.8">
      <c r="A12" s="18" t="s">
        <v>114</v>
      </c>
      <c r="B12" s="65">
        <v>316.88</v>
      </c>
      <c r="C12" s="65">
        <v>208.61</v>
      </c>
      <c r="D12" s="65">
        <v>145.1</v>
      </c>
      <c r="E12" s="85" t="s">
        <v>75</v>
      </c>
      <c r="F12" s="65">
        <v>267.94</v>
      </c>
      <c r="G12" s="65">
        <v>282.49</v>
      </c>
      <c r="AB12" s="84"/>
    </row>
    <row r="13" spans="1:28" ht="13.8">
      <c r="A13" s="18" t="s">
        <v>115</v>
      </c>
      <c r="B13" s="65">
        <v>345.02</v>
      </c>
      <c r="C13" s="65">
        <v>260.88</v>
      </c>
      <c r="D13" s="65">
        <v>173.53</v>
      </c>
      <c r="E13" s="85" t="s">
        <v>75</v>
      </c>
      <c r="F13" s="65">
        <v>291.14999999999998</v>
      </c>
      <c r="G13" s="65">
        <v>239.15</v>
      </c>
    </row>
    <row r="14" spans="1:28" ht="13.8">
      <c r="A14" s="18" t="s">
        <v>116</v>
      </c>
      <c r="B14" s="65">
        <v>308.27999999999997</v>
      </c>
      <c r="C14" s="65">
        <v>228.64</v>
      </c>
      <c r="D14" s="79">
        <v>164.16</v>
      </c>
      <c r="E14" s="85" t="s">
        <v>75</v>
      </c>
      <c r="F14" s="65">
        <v>272.38</v>
      </c>
      <c r="G14" s="65">
        <v>225.77</v>
      </c>
    </row>
    <row r="15" spans="1:28" ht="13.8">
      <c r="A15" s="18" t="s">
        <v>117</v>
      </c>
      <c r="B15" s="65">
        <v>299.5</v>
      </c>
      <c r="C15" s="65">
        <v>247.04</v>
      </c>
      <c r="D15" s="79">
        <v>187.7</v>
      </c>
      <c r="E15" s="85" t="s">
        <v>75</v>
      </c>
      <c r="F15" s="65">
        <v>273.99</v>
      </c>
      <c r="G15" s="65">
        <v>245.88</v>
      </c>
    </row>
    <row r="16" spans="1:28" ht="13.8">
      <c r="A16" s="18" t="s">
        <v>34</v>
      </c>
      <c r="B16" s="65">
        <v>392.31</v>
      </c>
      <c r="C16" s="65">
        <v>375.51</v>
      </c>
      <c r="D16" s="79">
        <v>246.22</v>
      </c>
      <c r="E16" s="85" t="s">
        <v>75</v>
      </c>
      <c r="F16" s="65">
        <v>351.87</v>
      </c>
      <c r="G16" s="65">
        <v>288.12</v>
      </c>
    </row>
    <row r="17" spans="1:13" ht="16.2">
      <c r="A17" s="18" t="s">
        <v>137</v>
      </c>
      <c r="B17" s="65">
        <v>439.81</v>
      </c>
      <c r="C17" s="65">
        <v>355.33</v>
      </c>
      <c r="D17" s="79">
        <v>279.98</v>
      </c>
      <c r="E17" s="85" t="s">
        <v>75</v>
      </c>
      <c r="F17" s="65">
        <v>439.1</v>
      </c>
      <c r="G17" s="65">
        <v>332.21</v>
      </c>
    </row>
    <row r="18" spans="1:13" ht="16.2">
      <c r="A18" s="18" t="s">
        <v>138</v>
      </c>
      <c r="B18" s="65">
        <v>400</v>
      </c>
      <c r="C18" s="65">
        <v>325</v>
      </c>
      <c r="D18" s="79">
        <v>235</v>
      </c>
      <c r="E18" s="85" t="s">
        <v>75</v>
      </c>
      <c r="F18" s="65">
        <v>360</v>
      </c>
      <c r="G18" s="65">
        <v>290</v>
      </c>
    </row>
    <row r="19" spans="1:13" ht="13.8">
      <c r="A19" s="22"/>
      <c r="B19" s="65"/>
      <c r="C19" s="65"/>
      <c r="D19" s="65"/>
      <c r="E19" s="85"/>
      <c r="F19" s="65"/>
      <c r="G19" s="65"/>
      <c r="I19" s="86"/>
      <c r="J19" s="87"/>
      <c r="K19" s="87"/>
      <c r="L19" s="87"/>
      <c r="M19" s="87"/>
    </row>
    <row r="20" spans="1:13" ht="13.8">
      <c r="A20" s="52" t="s">
        <v>53</v>
      </c>
      <c r="B20" s="65"/>
      <c r="C20" s="65"/>
      <c r="D20" s="65"/>
      <c r="E20" s="65"/>
      <c r="F20" s="65"/>
      <c r="G20" s="65"/>
      <c r="H20" s="65"/>
    </row>
    <row r="21" spans="1:13" ht="13.8">
      <c r="A21" s="22" t="s">
        <v>38</v>
      </c>
      <c r="B21" s="65">
        <v>325.43</v>
      </c>
      <c r="C21" s="65">
        <v>298.75</v>
      </c>
      <c r="D21" s="65">
        <v>222.5</v>
      </c>
      <c r="E21" s="85" t="s">
        <v>75</v>
      </c>
      <c r="F21" s="65">
        <v>322.82499999999999</v>
      </c>
      <c r="G21" s="65">
        <v>265.625</v>
      </c>
      <c r="H21" s="65"/>
    </row>
    <row r="22" spans="1:13" ht="13.8">
      <c r="A22" s="22" t="s">
        <v>39</v>
      </c>
      <c r="B22" s="65">
        <v>358.73</v>
      </c>
      <c r="C22" s="65">
        <v>304.5</v>
      </c>
      <c r="D22" s="65">
        <v>256.5</v>
      </c>
      <c r="E22" s="85" t="s">
        <v>75</v>
      </c>
      <c r="F22" s="65">
        <v>350.21999999999997</v>
      </c>
      <c r="G22" s="65">
        <v>252</v>
      </c>
      <c r="H22" s="65"/>
    </row>
    <row r="23" spans="1:13" ht="13.8">
      <c r="A23" s="22" t="s">
        <v>41</v>
      </c>
      <c r="B23" s="65">
        <v>399.53</v>
      </c>
      <c r="C23" s="65">
        <v>311.25</v>
      </c>
      <c r="D23" s="65">
        <v>289.16666666666669</v>
      </c>
      <c r="E23" s="85" t="s">
        <v>75</v>
      </c>
      <c r="F23" s="65">
        <v>382.9666666666667</v>
      </c>
      <c r="G23" s="65">
        <v>309.16666666666669</v>
      </c>
      <c r="H23" s="65"/>
    </row>
    <row r="24" spans="1:13" ht="13.8">
      <c r="A24" s="22" t="s">
        <v>151</v>
      </c>
      <c r="B24" s="65">
        <v>421.21</v>
      </c>
      <c r="C24" s="65">
        <v>318.125</v>
      </c>
      <c r="D24" s="65">
        <v>301.25</v>
      </c>
      <c r="E24" s="85" t="s">
        <v>75</v>
      </c>
      <c r="F24" s="65">
        <v>410.875</v>
      </c>
      <c r="G24" s="65">
        <v>326.25</v>
      </c>
      <c r="H24" s="65"/>
    </row>
    <row r="25" spans="1:13" ht="13.8">
      <c r="A25" s="22" t="s">
        <v>43</v>
      </c>
      <c r="B25" s="121">
        <v>460.45</v>
      </c>
      <c r="C25" s="65">
        <v>333.75</v>
      </c>
      <c r="D25" s="65">
        <v>320</v>
      </c>
      <c r="E25" s="85" t="s">
        <v>75</v>
      </c>
      <c r="F25" s="65">
        <v>454.625</v>
      </c>
      <c r="G25" s="65">
        <v>350</v>
      </c>
      <c r="H25" s="65"/>
    </row>
    <row r="26" spans="1:13" ht="13.8">
      <c r="A26" s="22" t="s">
        <v>45</v>
      </c>
      <c r="B26" s="121">
        <v>493.97500000000002</v>
      </c>
      <c r="C26" s="65">
        <v>345.625</v>
      </c>
      <c r="D26" s="65">
        <v>333.33300000000003</v>
      </c>
      <c r="E26" s="85" t="s">
        <v>75</v>
      </c>
      <c r="F26" s="65">
        <v>487.03750000000002</v>
      </c>
      <c r="G26" s="65">
        <v>392.5</v>
      </c>
      <c r="H26" s="65"/>
    </row>
    <row r="27" spans="1:13" ht="13.8">
      <c r="A27" s="22" t="s">
        <v>46</v>
      </c>
      <c r="B27" s="121">
        <v>475.35999999999996</v>
      </c>
      <c r="C27" s="65">
        <v>355</v>
      </c>
      <c r="D27" s="65">
        <v>321</v>
      </c>
      <c r="E27" s="85" t="s">
        <v>75</v>
      </c>
      <c r="F27" s="65">
        <v>470.77999999999992</v>
      </c>
      <c r="G27" s="65">
        <v>386</v>
      </c>
      <c r="H27" s="65"/>
    </row>
    <row r="28" spans="1:13" ht="13.8">
      <c r="A28" s="22" t="s">
        <v>47</v>
      </c>
      <c r="B28" s="121">
        <v>441.27499999999998</v>
      </c>
      <c r="C28" s="65">
        <v>388.75</v>
      </c>
      <c r="D28" s="65">
        <v>285.625</v>
      </c>
      <c r="E28" s="85" t="s">
        <v>75</v>
      </c>
      <c r="F28" s="65">
        <v>454.5</v>
      </c>
      <c r="G28" s="65">
        <v>351.25</v>
      </c>
      <c r="H28" s="65"/>
    </row>
    <row r="29" spans="1:13" ht="13.8">
      <c r="A29" s="22" t="s">
        <v>49</v>
      </c>
      <c r="B29" s="121">
        <v>445.92499999999995</v>
      </c>
      <c r="C29" s="65">
        <v>383.75</v>
      </c>
      <c r="D29" s="65">
        <v>281.875</v>
      </c>
      <c r="E29" s="85" t="s">
        <v>75</v>
      </c>
      <c r="F29" s="65">
        <v>478.17499999999995</v>
      </c>
      <c r="G29" s="65">
        <v>322.5</v>
      </c>
      <c r="H29" s="65"/>
    </row>
    <row r="30" spans="1:13" ht="13.8">
      <c r="A30" s="22" t="s">
        <v>50</v>
      </c>
      <c r="B30" s="121">
        <v>467.87</v>
      </c>
      <c r="C30" s="65">
        <v>369.5</v>
      </c>
      <c r="D30" s="65">
        <v>268.5</v>
      </c>
      <c r="E30" s="85" t="s">
        <v>75</v>
      </c>
      <c r="F30" s="65">
        <v>501.17999999999995</v>
      </c>
      <c r="G30" s="65">
        <v>351.5</v>
      </c>
      <c r="H30" s="65"/>
    </row>
    <row r="31" spans="1:13" ht="13.8">
      <c r="A31" s="22" t="s">
        <v>51</v>
      </c>
      <c r="B31" s="121">
        <v>510.90000000000009</v>
      </c>
      <c r="C31" s="65">
        <v>405</v>
      </c>
      <c r="D31" s="65">
        <v>255</v>
      </c>
      <c r="E31" s="85" t="s">
        <v>75</v>
      </c>
      <c r="F31" s="65">
        <v>521.52500000000009</v>
      </c>
      <c r="G31" s="65">
        <v>347.5</v>
      </c>
      <c r="H31" s="65"/>
    </row>
    <row r="32" spans="1:13" ht="13.8">
      <c r="A32" s="22" t="s">
        <v>37</v>
      </c>
      <c r="B32" s="142">
        <v>473.93999999999994</v>
      </c>
      <c r="C32" s="65">
        <v>450</v>
      </c>
      <c r="D32" s="65">
        <v>225</v>
      </c>
      <c r="E32" s="85" t="s">
        <v>75</v>
      </c>
      <c r="F32" s="65">
        <v>434.53999999999996</v>
      </c>
      <c r="G32" s="65" t="s">
        <v>75</v>
      </c>
      <c r="H32" s="65"/>
    </row>
    <row r="33" spans="1:10" ht="13.8">
      <c r="A33" s="22"/>
      <c r="B33" s="142"/>
      <c r="C33" s="65"/>
      <c r="D33" s="65"/>
      <c r="E33" s="85"/>
      <c r="F33" s="65"/>
      <c r="G33" s="65"/>
      <c r="H33" s="65"/>
    </row>
    <row r="34" spans="1:10" ht="13.8">
      <c r="A34" s="52" t="s">
        <v>156</v>
      </c>
      <c r="B34" s="142"/>
      <c r="C34" s="65"/>
      <c r="D34" s="65"/>
      <c r="E34" s="85"/>
      <c r="F34" s="65"/>
      <c r="G34" s="65"/>
      <c r="H34" s="65"/>
    </row>
    <row r="35" spans="1:10" ht="13.8">
      <c r="A35" s="16" t="s">
        <v>38</v>
      </c>
      <c r="B35" s="133">
        <v>468.67499999999995</v>
      </c>
      <c r="C35" s="15">
        <v>451.875</v>
      </c>
      <c r="D35" s="15" t="s">
        <v>75</v>
      </c>
      <c r="E35" s="115" t="s">
        <v>75</v>
      </c>
      <c r="F35" s="15">
        <v>409.17499999999995</v>
      </c>
      <c r="G35" s="15" t="s">
        <v>75</v>
      </c>
      <c r="H35" s="65"/>
    </row>
    <row r="36" spans="1:10" ht="16.2">
      <c r="A36" s="55" t="s">
        <v>152</v>
      </c>
      <c r="B36" s="88"/>
      <c r="C36" s="88"/>
      <c r="D36" s="88"/>
      <c r="E36" s="88"/>
      <c r="F36" s="88"/>
      <c r="G36" s="88"/>
      <c r="I36" s="86"/>
    </row>
    <row r="37" spans="1:10" ht="16.2">
      <c r="A37" s="55" t="s">
        <v>153</v>
      </c>
      <c r="B37" s="89"/>
      <c r="C37" s="89"/>
      <c r="D37" s="89"/>
      <c r="E37" s="89"/>
      <c r="F37" s="89"/>
      <c r="G37" s="89"/>
      <c r="I37" s="86"/>
      <c r="J37" s="86"/>
    </row>
    <row r="38" spans="1:10" ht="14.4">
      <c r="A38" s="18" t="s">
        <v>154</v>
      </c>
      <c r="B38" s="18"/>
      <c r="C38" s="18"/>
      <c r="D38" s="18"/>
      <c r="E38" s="18"/>
      <c r="F38" s="89"/>
      <c r="G38" s="89"/>
      <c r="I38" s="86"/>
      <c r="J38" s="86"/>
    </row>
    <row r="39" spans="1:10" ht="13.8">
      <c r="A39" s="24" t="s">
        <v>56</v>
      </c>
      <c r="B39" s="47">
        <f>Contents!A16</f>
        <v>44879</v>
      </c>
      <c r="C39" s="18"/>
      <c r="D39" s="18"/>
      <c r="E39" s="18"/>
      <c r="F39" s="89"/>
      <c r="G39" s="89"/>
      <c r="I39" s="90"/>
      <c r="J39" s="90"/>
    </row>
    <row r="40" spans="1:10" ht="13.8">
      <c r="F40" s="89"/>
      <c r="G40" s="89"/>
      <c r="I40" s="90"/>
      <c r="J40" s="90"/>
    </row>
    <row r="41" spans="1:10" ht="13.8">
      <c r="F41" s="89"/>
      <c r="G41" s="89"/>
      <c r="I41" s="86"/>
      <c r="J41" s="86"/>
    </row>
    <row r="42" spans="1:10">
      <c r="I42" s="86"/>
      <c r="J42" s="86"/>
    </row>
    <row r="43" spans="1:10">
      <c r="I43" s="86"/>
      <c r="J43" s="86"/>
    </row>
    <row r="44" spans="1:10">
      <c r="I44" s="86"/>
      <c r="J44" s="86"/>
    </row>
    <row r="45" spans="1:10">
      <c r="I45" s="86"/>
      <c r="J45" s="86"/>
    </row>
    <row r="46" spans="1:10">
      <c r="I46" s="86"/>
      <c r="J46" s="86"/>
    </row>
    <row r="48" spans="1:10">
      <c r="I48" s="91"/>
      <c r="J48" s="91"/>
    </row>
    <row r="49" spans="9:10">
      <c r="I49" s="91"/>
      <c r="J49" s="91"/>
    </row>
  </sheetData>
  <phoneticPr fontId="1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85FA-E6DA-4506-965E-65137E8EBF7E}">
  <dimension ref="A1:H13"/>
  <sheetViews>
    <sheetView zoomScaleNormal="100" workbookViewId="0"/>
  </sheetViews>
  <sheetFormatPr defaultColWidth="9.109375" defaultRowHeight="13.2"/>
  <cols>
    <col min="1" max="1" width="13.109375" style="131" bestFit="1" customWidth="1"/>
    <col min="2" max="2" width="12.33203125" style="131" customWidth="1"/>
    <col min="3" max="4" width="10.33203125" style="131" customWidth="1"/>
    <col min="5" max="5" width="15.33203125" style="131" customWidth="1"/>
    <col min="6" max="16384" width="9.109375" style="131"/>
  </cols>
  <sheetData>
    <row r="1" spans="1:8">
      <c r="A1" s="158"/>
      <c r="B1" s="159" t="s">
        <v>184</v>
      </c>
      <c r="C1" s="159"/>
      <c r="D1" s="159"/>
      <c r="E1" s="155"/>
      <c r="F1" s="155"/>
    </row>
    <row r="2" spans="1:8" ht="26.4">
      <c r="A2" s="158" t="s">
        <v>185</v>
      </c>
      <c r="B2" s="161" t="s">
        <v>186</v>
      </c>
      <c r="C2" s="158">
        <v>2021</v>
      </c>
      <c r="D2" s="158">
        <v>2022</v>
      </c>
      <c r="E2" s="156"/>
      <c r="F2" s="156"/>
    </row>
    <row r="3" spans="1:8">
      <c r="A3" s="160">
        <v>44822</v>
      </c>
      <c r="B3">
        <v>5</v>
      </c>
      <c r="C3">
        <v>6</v>
      </c>
      <c r="D3">
        <v>3</v>
      </c>
      <c r="E3" s="157"/>
      <c r="F3" s="157"/>
      <c r="G3" s="137"/>
      <c r="H3" s="137"/>
    </row>
    <row r="4" spans="1:8">
      <c r="A4" s="160">
        <v>44829</v>
      </c>
      <c r="B4">
        <v>13</v>
      </c>
      <c r="C4">
        <v>16</v>
      </c>
      <c r="D4">
        <v>8</v>
      </c>
      <c r="E4" s="138"/>
      <c r="F4" s="138"/>
      <c r="G4" s="137"/>
      <c r="H4" s="137"/>
    </row>
    <row r="5" spans="1:8">
      <c r="A5" s="160">
        <v>44836</v>
      </c>
      <c r="B5">
        <v>25</v>
      </c>
      <c r="C5">
        <v>34</v>
      </c>
      <c r="D5">
        <v>22</v>
      </c>
      <c r="E5" s="138"/>
      <c r="F5" s="138"/>
      <c r="G5" s="137"/>
      <c r="H5" s="137"/>
    </row>
    <row r="6" spans="1:8">
      <c r="A6" s="160">
        <v>44843</v>
      </c>
      <c r="B6">
        <v>38</v>
      </c>
      <c r="C6">
        <v>49</v>
      </c>
      <c r="D6">
        <v>44</v>
      </c>
      <c r="E6" s="138"/>
      <c r="F6" s="138"/>
      <c r="G6" s="137"/>
      <c r="H6" s="137"/>
    </row>
    <row r="7" spans="1:8">
      <c r="A7" s="160">
        <v>44850</v>
      </c>
      <c r="B7">
        <v>52</v>
      </c>
      <c r="C7">
        <v>60</v>
      </c>
      <c r="D7">
        <v>63</v>
      </c>
      <c r="E7" s="138"/>
      <c r="F7" s="138"/>
      <c r="G7" s="137"/>
      <c r="H7" s="137"/>
    </row>
    <row r="8" spans="1:8">
      <c r="A8" s="160">
        <v>44857</v>
      </c>
      <c r="B8">
        <v>67</v>
      </c>
      <c r="C8">
        <v>73</v>
      </c>
      <c r="D8">
        <v>80</v>
      </c>
      <c r="E8" s="138"/>
      <c r="F8" s="138"/>
      <c r="G8" s="137"/>
      <c r="H8" s="137"/>
    </row>
    <row r="9" spans="1:8">
      <c r="A9" s="160">
        <v>44864</v>
      </c>
      <c r="B9">
        <v>78</v>
      </c>
      <c r="C9">
        <v>79</v>
      </c>
      <c r="D9">
        <v>88</v>
      </c>
      <c r="E9" s="138"/>
      <c r="F9" s="138"/>
      <c r="G9" s="137"/>
      <c r="H9" s="137"/>
    </row>
    <row r="10" spans="1:8">
      <c r="A10" s="160">
        <v>44871</v>
      </c>
      <c r="B10">
        <v>86</v>
      </c>
      <c r="C10">
        <v>87</v>
      </c>
      <c r="D10">
        <v>94</v>
      </c>
      <c r="E10" s="138"/>
      <c r="F10" s="138"/>
      <c r="G10" s="137"/>
      <c r="H10" s="137"/>
    </row>
    <row r="11" spans="1:8">
      <c r="A11" s="160"/>
      <c r="C11"/>
      <c r="E11" s="138"/>
      <c r="F11" s="138"/>
      <c r="G11" s="137"/>
      <c r="H11" s="137"/>
    </row>
    <row r="12" spans="1:8">
      <c r="A12" s="160"/>
      <c r="B12" s="138"/>
      <c r="C12"/>
      <c r="D12" s="138"/>
      <c r="E12" s="138"/>
      <c r="F12" s="138"/>
      <c r="G12" s="137"/>
      <c r="H12" s="137"/>
    </row>
    <row r="13" spans="1:8">
      <c r="A13" s="136"/>
      <c r="B13" s="138"/>
      <c r="C13" s="134"/>
      <c r="D13" s="134"/>
      <c r="E13" s="134"/>
      <c r="F13" s="13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0A3D-6F5C-4CA1-89A2-E9D74DFDCE68}">
  <dimension ref="A1:D26"/>
  <sheetViews>
    <sheetView workbookViewId="0">
      <selection activeCell="L28" sqref="L28"/>
    </sheetView>
  </sheetViews>
  <sheetFormatPr defaultRowHeight="13.8"/>
  <cols>
    <col min="1" max="1" width="10.6640625" style="128" bestFit="1" customWidth="1"/>
    <col min="2" max="2" width="11.33203125" style="128" customWidth="1"/>
    <col min="3" max="3" width="14.88671875" style="128" customWidth="1"/>
    <col min="4" max="4" width="13.88671875" style="128" bestFit="1" customWidth="1"/>
    <col min="5" max="16384" width="8.88671875" style="128"/>
  </cols>
  <sheetData>
    <row r="1" spans="1:4" ht="55.2">
      <c r="A1" s="127" t="s">
        <v>157</v>
      </c>
      <c r="B1" s="166" t="s">
        <v>189</v>
      </c>
      <c r="C1" s="166" t="s">
        <v>187</v>
      </c>
      <c r="D1" s="166" t="s">
        <v>190</v>
      </c>
    </row>
    <row r="2" spans="1:4">
      <c r="A2" s="128" t="s">
        <v>158</v>
      </c>
      <c r="B2" s="135">
        <v>821.14</v>
      </c>
      <c r="C2" s="135">
        <f t="shared" ref="C2:C26" si="0">B2*1.191</f>
        <v>977.97774000000004</v>
      </c>
      <c r="D2" s="135">
        <v>819.5</v>
      </c>
    </row>
    <row r="3" spans="1:4">
      <c r="A3" s="128" t="s">
        <v>159</v>
      </c>
      <c r="B3" s="135">
        <v>943.62</v>
      </c>
      <c r="C3" s="135">
        <f t="shared" si="0"/>
        <v>1123.85142</v>
      </c>
      <c r="D3" s="135">
        <v>915.19</v>
      </c>
    </row>
    <row r="4" spans="1:4">
      <c r="A4" s="128" t="s">
        <v>160</v>
      </c>
      <c r="B4" s="135">
        <v>1021.04</v>
      </c>
      <c r="C4" s="135">
        <f t="shared" si="0"/>
        <v>1216.05864</v>
      </c>
      <c r="D4" s="135">
        <v>968.22</v>
      </c>
    </row>
    <row r="5" spans="1:4">
      <c r="A5" s="128" t="s">
        <v>161</v>
      </c>
      <c r="B5" s="135">
        <v>1057.33</v>
      </c>
      <c r="C5" s="135">
        <f t="shared" si="0"/>
        <v>1259.2800299999999</v>
      </c>
      <c r="D5" s="135">
        <v>1049.95</v>
      </c>
    </row>
    <row r="6" spans="1:4">
      <c r="A6" s="128" t="s">
        <v>162</v>
      </c>
      <c r="B6" s="135">
        <v>1077.8499999999999</v>
      </c>
      <c r="C6" s="135">
        <f t="shared" si="0"/>
        <v>1283.7193499999998</v>
      </c>
      <c r="D6" s="135">
        <v>1118.25</v>
      </c>
    </row>
    <row r="7" spans="1:4">
      <c r="A7" s="128" t="s">
        <v>163</v>
      </c>
      <c r="B7" s="135">
        <v>1209.6099999999999</v>
      </c>
      <c r="C7" s="135">
        <f t="shared" si="0"/>
        <v>1440.6455100000001</v>
      </c>
      <c r="D7" s="135">
        <v>1295.0899999999999</v>
      </c>
    </row>
    <row r="8" spans="1:4">
      <c r="A8" s="128" t="s">
        <v>164</v>
      </c>
      <c r="B8" s="135">
        <v>1239.95</v>
      </c>
      <c r="C8" s="135">
        <f t="shared" si="0"/>
        <v>1476.7804500000002</v>
      </c>
      <c r="D8" s="135">
        <v>1444.95</v>
      </c>
    </row>
    <row r="9" spans="1:4">
      <c r="A9" s="128" t="s">
        <v>165</v>
      </c>
      <c r="B9" s="135">
        <v>1348.9</v>
      </c>
      <c r="C9" s="135">
        <f t="shared" si="0"/>
        <v>1606.5399000000002</v>
      </c>
      <c r="D9" s="135">
        <v>1650.71</v>
      </c>
    </row>
    <row r="10" spans="1:4">
      <c r="A10" s="128" t="s">
        <v>166</v>
      </c>
      <c r="B10" s="135">
        <v>1190.8599999999999</v>
      </c>
      <c r="C10" s="135">
        <f t="shared" si="0"/>
        <v>1418.3142599999999</v>
      </c>
      <c r="D10" s="135">
        <v>1607.59</v>
      </c>
    </row>
    <row r="11" spans="1:4">
      <c r="A11" s="128" t="s">
        <v>167</v>
      </c>
      <c r="B11" s="135">
        <v>1244.32</v>
      </c>
      <c r="C11" s="135">
        <f t="shared" si="0"/>
        <v>1481.9851200000001</v>
      </c>
      <c r="D11" s="135">
        <v>1553.77</v>
      </c>
    </row>
    <row r="12" spans="1:4">
      <c r="A12" s="128" t="s">
        <v>168</v>
      </c>
      <c r="B12" s="135">
        <v>1301.3599999999999</v>
      </c>
      <c r="C12" s="135">
        <f t="shared" si="0"/>
        <v>1549.91976</v>
      </c>
      <c r="D12" s="135">
        <v>1478.18</v>
      </c>
    </row>
    <row r="13" spans="1:4">
      <c r="A13" s="128" t="s">
        <v>169</v>
      </c>
      <c r="B13" s="135">
        <v>1306.5</v>
      </c>
      <c r="C13" s="135">
        <f t="shared" si="0"/>
        <v>1556.0415</v>
      </c>
      <c r="D13" s="135">
        <v>1383.55</v>
      </c>
    </row>
    <row r="14" spans="1:4">
      <c r="A14" s="128" t="s">
        <v>170</v>
      </c>
      <c r="B14" s="135">
        <v>1397.38</v>
      </c>
      <c r="C14" s="135">
        <f t="shared" si="0"/>
        <v>1664.2795800000001</v>
      </c>
      <c r="D14" s="135">
        <v>1464.24</v>
      </c>
    </row>
    <row r="15" spans="1:4">
      <c r="A15" s="128" t="s">
        <v>171</v>
      </c>
      <c r="B15" s="135">
        <v>1391.73</v>
      </c>
      <c r="C15" s="135">
        <f t="shared" si="0"/>
        <v>1657.55043</v>
      </c>
      <c r="D15" s="135">
        <v>1421.95</v>
      </c>
    </row>
    <row r="16" spans="1:4">
      <c r="A16" s="128" t="s">
        <v>172</v>
      </c>
      <c r="B16" s="135">
        <v>1351</v>
      </c>
      <c r="C16" s="135">
        <f t="shared" si="0"/>
        <v>1609.0410000000002</v>
      </c>
      <c r="D16" s="135">
        <v>1342.74</v>
      </c>
    </row>
    <row r="17" spans="1:4">
      <c r="A17" s="128" t="s">
        <v>173</v>
      </c>
      <c r="B17" s="135">
        <v>1372.43</v>
      </c>
      <c r="C17" s="135">
        <f t="shared" si="0"/>
        <v>1634.5641300000002</v>
      </c>
      <c r="D17" s="135">
        <v>1457.95</v>
      </c>
    </row>
    <row r="18" spans="1:4">
      <c r="A18" s="128" t="s">
        <v>174</v>
      </c>
      <c r="B18" s="135">
        <v>1531.9</v>
      </c>
      <c r="C18" s="135">
        <f t="shared" si="0"/>
        <v>1824.4929000000002</v>
      </c>
      <c r="D18" s="135">
        <v>1583.85</v>
      </c>
    </row>
    <row r="19" spans="1:4">
      <c r="A19" s="128" t="s">
        <v>175</v>
      </c>
      <c r="B19" s="135">
        <v>1759.09</v>
      </c>
      <c r="C19" s="135">
        <f t="shared" si="0"/>
        <v>2095.0761900000002</v>
      </c>
      <c r="D19" s="135">
        <v>1759.96</v>
      </c>
    </row>
    <row r="20" spans="1:4">
      <c r="A20" s="128" t="s">
        <v>176</v>
      </c>
      <c r="B20" s="135">
        <v>1834.9</v>
      </c>
      <c r="C20" s="135">
        <f t="shared" si="0"/>
        <v>2185.3659000000002</v>
      </c>
      <c r="D20" s="135">
        <v>1875.71</v>
      </c>
    </row>
    <row r="21" spans="1:4">
      <c r="A21" s="128" t="s">
        <v>177</v>
      </c>
      <c r="B21" s="135">
        <v>1810.14</v>
      </c>
      <c r="C21" s="135">
        <f t="shared" si="0"/>
        <v>2155.8767400000002</v>
      </c>
      <c r="D21" s="135">
        <v>1943.23</v>
      </c>
    </row>
    <row r="22" spans="1:4">
      <c r="A22" s="128" t="s">
        <v>178</v>
      </c>
      <c r="B22" s="135">
        <v>1596.41</v>
      </c>
      <c r="C22" s="135">
        <f t="shared" si="0"/>
        <v>1901.3243100000002</v>
      </c>
      <c r="D22" s="135">
        <v>1849.91</v>
      </c>
    </row>
    <row r="23" spans="1:4">
      <c r="A23" s="128" t="s">
        <v>179</v>
      </c>
      <c r="B23" s="135">
        <v>1318.48</v>
      </c>
      <c r="C23" s="135">
        <f t="shared" si="0"/>
        <v>1570.3096800000001</v>
      </c>
      <c r="D23" s="135">
        <v>1561.43</v>
      </c>
    </row>
    <row r="24" spans="1:4">
      <c r="A24" s="128" t="s">
        <v>180</v>
      </c>
      <c r="B24" s="135">
        <v>1370.26</v>
      </c>
      <c r="C24" s="135">
        <f t="shared" si="0"/>
        <v>1631.97966</v>
      </c>
      <c r="D24" s="135">
        <v>1689.17</v>
      </c>
    </row>
    <row r="25" spans="1:4">
      <c r="A25" s="128" t="s">
        <v>181</v>
      </c>
      <c r="B25" s="135">
        <v>1200.68</v>
      </c>
      <c r="C25" s="135">
        <f t="shared" si="0"/>
        <v>1430.0098800000001</v>
      </c>
      <c r="D25" s="135">
        <v>1668.41</v>
      </c>
    </row>
    <row r="26" spans="1:4">
      <c r="A26" s="128" t="s">
        <v>182</v>
      </c>
      <c r="B26" s="135">
        <v>1291.9000000000001</v>
      </c>
      <c r="C26" s="135">
        <f t="shared" si="0"/>
        <v>1538.6529000000003</v>
      </c>
      <c r="D26" s="135">
        <v>1684.57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95B7-BE89-4B31-9A04-A53561125682}">
  <dimension ref="A1:D49"/>
  <sheetViews>
    <sheetView zoomScaleNormal="100" workbookViewId="0">
      <selection activeCell="B4" sqref="B4"/>
    </sheetView>
  </sheetViews>
  <sheetFormatPr defaultColWidth="8.88671875" defaultRowHeight="13.2"/>
  <cols>
    <col min="1" max="1" width="12.33203125" style="146" customWidth="1"/>
    <col min="2" max="2" width="14.88671875" style="146" customWidth="1"/>
    <col min="3" max="3" width="9.44140625" style="146" bestFit="1" customWidth="1"/>
    <col min="4" max="4" width="23.109375" style="146" customWidth="1"/>
    <col min="5" max="16384" width="8.88671875" style="146"/>
  </cols>
  <sheetData>
    <row r="1" spans="1:4" ht="26.4">
      <c r="A1" s="144" t="s">
        <v>155</v>
      </c>
      <c r="B1" s="145" t="s">
        <v>13</v>
      </c>
      <c r="C1" s="145" t="s">
        <v>14</v>
      </c>
      <c r="D1" s="145" t="s">
        <v>26</v>
      </c>
    </row>
    <row r="2" spans="1:4" ht="14.4">
      <c r="A2" s="147" t="s">
        <v>111</v>
      </c>
      <c r="B2" s="148">
        <v>2721</v>
      </c>
      <c r="C2" s="149">
        <f>D2/B2</f>
        <v>1.408305769937523</v>
      </c>
      <c r="D2" s="150">
        <v>3832</v>
      </c>
    </row>
    <row r="3" spans="1:4" ht="14.4">
      <c r="A3" s="147" t="s">
        <v>112</v>
      </c>
      <c r="B3" s="148">
        <v>2897</v>
      </c>
      <c r="C3" s="149">
        <f t="shared" ref="C3:C12" si="0">D3/B3</f>
        <v>1.2219537452537108</v>
      </c>
      <c r="D3" s="150">
        <v>3540</v>
      </c>
    </row>
    <row r="4" spans="1:4" ht="14.4">
      <c r="A4" s="147" t="s">
        <v>113</v>
      </c>
      <c r="B4" s="148">
        <v>2091</v>
      </c>
      <c r="C4" s="149">
        <f t="shared" si="0"/>
        <v>1.327116212338594</v>
      </c>
      <c r="D4" s="150">
        <v>2775</v>
      </c>
    </row>
    <row r="5" spans="1:4" ht="14.4">
      <c r="A5" s="147" t="s">
        <v>114</v>
      </c>
      <c r="B5" s="148">
        <v>2681</v>
      </c>
      <c r="C5" s="149">
        <f t="shared" si="0"/>
        <v>1.608728086534875</v>
      </c>
      <c r="D5" s="150">
        <v>4313</v>
      </c>
    </row>
    <row r="6" spans="1:4" ht="14.4">
      <c r="A6" s="147" t="s">
        <v>115</v>
      </c>
      <c r="B6" s="148">
        <v>3171</v>
      </c>
      <c r="C6" s="149">
        <f t="shared" si="0"/>
        <v>1.2276884263639229</v>
      </c>
      <c r="D6" s="150">
        <v>3893</v>
      </c>
    </row>
    <row r="7" spans="1:4" ht="14.4">
      <c r="A7" s="147" t="s">
        <v>116</v>
      </c>
      <c r="B7" s="148">
        <v>2120</v>
      </c>
      <c r="C7" s="149">
        <f t="shared" si="0"/>
        <v>1.1160377358490565</v>
      </c>
      <c r="D7" s="150">
        <v>2366</v>
      </c>
    </row>
    <row r="8" spans="1:4" ht="14.4">
      <c r="A8" s="147" t="s">
        <v>117</v>
      </c>
      <c r="B8" s="148">
        <v>2034</v>
      </c>
      <c r="C8" s="149">
        <f t="shared" si="0"/>
        <v>1.1302851524090463</v>
      </c>
      <c r="D8" s="150">
        <v>2299</v>
      </c>
    </row>
    <row r="9" spans="1:4" ht="14.4">
      <c r="A9" s="147" t="s">
        <v>34</v>
      </c>
      <c r="B9" s="148">
        <v>2614</v>
      </c>
      <c r="C9" s="149">
        <f t="shared" si="0"/>
        <v>1.819433817903596</v>
      </c>
      <c r="D9" s="150">
        <v>4756</v>
      </c>
    </row>
    <row r="10" spans="1:4" ht="14.4">
      <c r="A10" s="147" t="s">
        <v>53</v>
      </c>
      <c r="B10" s="148">
        <v>3215</v>
      </c>
      <c r="C10" s="149">
        <f t="shared" si="0"/>
        <v>2.1032659409020216</v>
      </c>
      <c r="D10" s="150">
        <v>6762</v>
      </c>
    </row>
    <row r="11" spans="1:4" ht="14.4">
      <c r="A11" s="147" t="s">
        <v>191</v>
      </c>
      <c r="B11" s="148">
        <v>3600</v>
      </c>
      <c r="C11" s="149">
        <f t="shared" si="0"/>
        <v>1.8611111111111112</v>
      </c>
      <c r="D11" s="150">
        <v>6700</v>
      </c>
    </row>
    <row r="12" spans="1:4" ht="14.4">
      <c r="A12" s="147" t="s">
        <v>192</v>
      </c>
      <c r="B12" s="148">
        <v>3600</v>
      </c>
      <c r="C12" s="149">
        <f t="shared" si="0"/>
        <v>2.0277777777777777</v>
      </c>
      <c r="D12" s="150">
        <v>7300</v>
      </c>
    </row>
    <row r="13" spans="1:4">
      <c r="A13" s="152"/>
      <c r="B13" s="153"/>
    </row>
    <row r="14" spans="1:4">
      <c r="A14" s="152"/>
      <c r="B14" s="154"/>
    </row>
    <row r="15" spans="1:4">
      <c r="A15" s="152"/>
      <c r="B15" s="165"/>
      <c r="C15" s="162"/>
    </row>
    <row r="16" spans="1:4">
      <c r="B16" s="154"/>
      <c r="C16" s="163"/>
    </row>
    <row r="17" spans="2:3">
      <c r="B17" s="154"/>
      <c r="C17" s="164"/>
    </row>
    <row r="18" spans="2:3">
      <c r="B18" s="154"/>
    </row>
    <row r="19" spans="2:3">
      <c r="B19" s="154"/>
      <c r="C19" s="162"/>
    </row>
    <row r="20" spans="2:3">
      <c r="B20" s="154"/>
      <c r="C20" s="163"/>
    </row>
    <row r="21" spans="2:3">
      <c r="B21" s="154"/>
    </row>
    <row r="22" spans="2:3">
      <c r="B22" s="154"/>
    </row>
    <row r="23" spans="2:3">
      <c r="B23" s="151"/>
    </row>
    <row r="24" spans="2:3">
      <c r="B24" s="151"/>
    </row>
    <row r="25" spans="2:3">
      <c r="B25" s="151"/>
    </row>
    <row r="26" spans="2:3">
      <c r="B26" s="151"/>
    </row>
    <row r="27" spans="2:3">
      <c r="B27" s="151"/>
    </row>
    <row r="28" spans="2:3">
      <c r="B28" s="151"/>
    </row>
    <row r="29" spans="2:3">
      <c r="B29" s="151"/>
    </row>
    <row r="30" spans="2:3">
      <c r="B30" s="151"/>
    </row>
    <row r="31" spans="2:3">
      <c r="B31" s="151"/>
    </row>
    <row r="32" spans="2:3">
      <c r="B32" s="151"/>
    </row>
    <row r="33" spans="2:2">
      <c r="B33" s="151"/>
    </row>
    <row r="34" spans="2:2">
      <c r="B34" s="151"/>
    </row>
    <row r="35" spans="2:2">
      <c r="B35" s="151"/>
    </row>
    <row r="36" spans="2:2">
      <c r="B36" s="151"/>
    </row>
    <row r="37" spans="2:2">
      <c r="B37" s="151"/>
    </row>
    <row r="38" spans="2:2">
      <c r="B38" s="151"/>
    </row>
    <row r="39" spans="2:2">
      <c r="B39" s="151"/>
    </row>
    <row r="40" spans="2:2">
      <c r="B40" s="151"/>
    </row>
    <row r="41" spans="2:2">
      <c r="B41" s="151"/>
    </row>
    <row r="42" spans="2:2">
      <c r="B42" s="151"/>
    </row>
    <row r="43" spans="2:2">
      <c r="B43" s="151"/>
    </row>
    <row r="44" spans="2:2">
      <c r="B44" s="151"/>
    </row>
    <row r="45" spans="2:2">
      <c r="B45" s="151"/>
    </row>
    <row r="46" spans="2:2">
      <c r="B46" s="151"/>
    </row>
    <row r="47" spans="2:2">
      <c r="B47" s="151"/>
    </row>
    <row r="48" spans="2:2">
      <c r="B48" s="151"/>
    </row>
    <row r="49" spans="2:2">
      <c r="B49" s="15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3C37-0DF2-407A-8629-9FBBD03D0326}">
  <dimension ref="A1:C18"/>
  <sheetViews>
    <sheetView zoomScale="90" zoomScaleNormal="90" workbookViewId="0">
      <pane ySplit="1" topLeftCell="A2" activePane="bottomLeft" state="frozen"/>
      <selection pane="bottomLeft" activeCell="C20" sqref="C20"/>
    </sheetView>
  </sheetViews>
  <sheetFormatPr defaultColWidth="9.109375" defaultRowHeight="13.8"/>
  <cols>
    <col min="1" max="1" width="10.6640625" style="128" bestFit="1" customWidth="1"/>
    <col min="2" max="2" width="17.88671875" style="128" customWidth="1"/>
    <col min="3" max="3" width="21.6640625" style="128" customWidth="1"/>
    <col min="4" max="16384" width="9.109375" style="128"/>
  </cols>
  <sheetData>
    <row r="1" spans="1:3" ht="41.4">
      <c r="A1" s="127" t="s">
        <v>157</v>
      </c>
      <c r="B1" s="143" t="s">
        <v>188</v>
      </c>
      <c r="C1" s="143" t="s">
        <v>183</v>
      </c>
    </row>
    <row r="2" spans="1:3">
      <c r="A2" s="128" t="s">
        <v>169</v>
      </c>
      <c r="B2" s="135">
        <v>1306.5</v>
      </c>
      <c r="C2" s="135">
        <v>1756.404</v>
      </c>
    </row>
    <row r="3" spans="1:3">
      <c r="A3" s="128" t="s">
        <v>170</v>
      </c>
      <c r="B3" s="135">
        <v>1397.38</v>
      </c>
      <c r="C3" s="135">
        <v>1834.568</v>
      </c>
    </row>
    <row r="4" spans="1:3">
      <c r="A4" s="128" t="s">
        <v>171</v>
      </c>
      <c r="B4" s="135">
        <v>1391.73</v>
      </c>
      <c r="C4" s="135">
        <v>1817.0609999999999</v>
      </c>
    </row>
    <row r="5" spans="1:3">
      <c r="A5" s="128" t="s">
        <v>172</v>
      </c>
      <c r="B5" s="135">
        <v>1351</v>
      </c>
      <c r="C5" s="135">
        <v>1614.5940000000001</v>
      </c>
    </row>
    <row r="6" spans="1:3">
      <c r="A6" s="128" t="s">
        <v>173</v>
      </c>
      <c r="B6" s="135">
        <v>1372.43</v>
      </c>
      <c r="C6" s="135">
        <v>1551.1510000000001</v>
      </c>
    </row>
    <row r="7" spans="1:3">
      <c r="A7" s="128" t="s">
        <v>174</v>
      </c>
      <c r="B7" s="135">
        <v>1531.9</v>
      </c>
      <c r="C7" s="135">
        <v>1518.2380000000001</v>
      </c>
    </row>
    <row r="8" spans="1:3">
      <c r="A8" s="128" t="s">
        <v>175</v>
      </c>
      <c r="B8" s="135">
        <v>1759.09</v>
      </c>
      <c r="C8" s="135">
        <v>1472.8430000000001</v>
      </c>
    </row>
    <row r="9" spans="1:3">
      <c r="A9" s="128" t="s">
        <v>176</v>
      </c>
      <c r="B9" s="135">
        <v>1834.9</v>
      </c>
      <c r="C9" s="135">
        <v>1642.8130000000001</v>
      </c>
    </row>
    <row r="10" spans="1:3">
      <c r="A10" s="128" t="s">
        <v>177</v>
      </c>
      <c r="B10" s="135">
        <v>1810.14</v>
      </c>
      <c r="C10" s="135">
        <v>1521.826</v>
      </c>
    </row>
    <row r="11" spans="1:3">
      <c r="A11" s="128" t="s">
        <v>178</v>
      </c>
      <c r="B11" s="135">
        <v>1596.41</v>
      </c>
      <c r="C11" s="135">
        <v>1645.83</v>
      </c>
    </row>
    <row r="12" spans="1:3">
      <c r="A12" s="128" t="s">
        <v>179</v>
      </c>
      <c r="B12" s="135">
        <v>1318.48</v>
      </c>
      <c r="C12" s="135">
        <v>1772.8040000000001</v>
      </c>
    </row>
    <row r="13" spans="1:3">
      <c r="A13" s="128" t="s">
        <v>180</v>
      </c>
      <c r="B13" s="135">
        <v>1370.26</v>
      </c>
      <c r="C13" s="135">
        <v>2094.6669999999999</v>
      </c>
    </row>
    <row r="14" spans="1:3">
      <c r="A14" s="128" t="s">
        <v>181</v>
      </c>
      <c r="B14" s="135">
        <v>1200.68</v>
      </c>
      <c r="C14" s="135">
        <v>2315.4639999999999</v>
      </c>
    </row>
    <row r="16" spans="1:3">
      <c r="B16" s="135"/>
      <c r="C16" s="135">
        <f>C14-C13</f>
        <v>220.79700000000003</v>
      </c>
    </row>
    <row r="18" spans="3:3">
      <c r="C18" s="135">
        <f>C14-C2</f>
        <v>559.05999999999995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7818c5c2-d41f-4dce-801c-4e3595afcb3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49de858-f9fd-4eb6-bcba-5039664671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 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Boulanger, Stephanie - REE-ERS, Kansas City, MO</cp:lastModifiedBy>
  <cp:revision/>
  <dcterms:created xsi:type="dcterms:W3CDTF">2001-11-13T16:22:15Z</dcterms:created>
  <dcterms:modified xsi:type="dcterms:W3CDTF">2022-11-14T13:44:14Z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