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2/OCS-22I September 2022/"/>
    </mc:Choice>
  </mc:AlternateContent>
  <xr:revisionPtr revIDLastSave="357" documentId="13_ncr:1_{D5B91E99-5993-4FC3-9627-285498D807F0}" xr6:coauthVersionLast="47" xr6:coauthVersionMax="47" xr10:uidLastSave="{CE0FE18D-85A8-4D40-8B28-240D0A09448E}"/>
  <bookViews>
    <workbookView xWindow="1920" yWindow="1920" windowWidth="13896" windowHeight="8964" tabRatio="873" firstSheet="8" activeTab="8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94" r:id="rId9"/>
    <sheet name="Figure 2" sheetId="85" r:id="rId10"/>
    <sheet name="Figure 3" sheetId="92" r:id="rId11"/>
    <sheet name="Figure 4" sheetId="89" r:id="rId12"/>
  </sheets>
  <definedNames>
    <definedName name="_xlnm.Print_Area" localSheetId="1">'Table 1'!$A$1:$N$46</definedName>
    <definedName name="_xlnm.Print_Area" localSheetId="7">'Table 10'!$A$1:$G$48</definedName>
    <definedName name="_xlnm.Print_Area" localSheetId="2">'Table 2'!$A$1:$J$37</definedName>
    <definedName name="_xlnm.Print_Area" localSheetId="3">'Table 3'!$A$1:$L$50</definedName>
    <definedName name="_xlnm.Print_Area" localSheetId="5">'Table 8'!$A$1:$G$46</definedName>
    <definedName name="_xlnm.Print_Area" localSheetId="6">'Table 9'!$A$1:$I$48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9" l="1"/>
  <c r="H35" i="2"/>
  <c r="D35" i="9" l="1"/>
  <c r="D35" i="2"/>
  <c r="G43" i="1" l="1"/>
  <c r="L43" i="1" l="1"/>
  <c r="J43" i="1" l="1"/>
  <c r="B35" i="9"/>
  <c r="E35" i="9" s="1"/>
  <c r="K35" i="9" s="1"/>
  <c r="G35" i="9" s="1"/>
  <c r="B35" i="2"/>
  <c r="E35" i="2" s="1"/>
  <c r="I35" i="2" s="1"/>
  <c r="G35" i="2" s="1"/>
  <c r="D46" i="3" l="1"/>
  <c r="H34" i="2" l="1"/>
  <c r="H33" i="2"/>
  <c r="H32" i="2"/>
  <c r="H31" i="2"/>
  <c r="H30" i="2"/>
  <c r="H29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34" i="2"/>
  <c r="D33" i="2"/>
  <c r="D32" i="2"/>
  <c r="D31" i="2"/>
  <c r="D30" i="2"/>
  <c r="D29" i="2"/>
  <c r="D28" i="2"/>
  <c r="D27" i="2"/>
  <c r="D26" i="2"/>
  <c r="D22" i="2"/>
  <c r="D21" i="2"/>
  <c r="D19" i="2"/>
  <c r="D18" i="2"/>
  <c r="D17" i="2"/>
  <c r="D16" i="2"/>
  <c r="D15" i="2"/>
  <c r="D14" i="2"/>
  <c r="D13" i="2"/>
  <c r="D12" i="2"/>
  <c r="D11" i="2"/>
  <c r="D34" i="9" l="1"/>
  <c r="D33" i="9"/>
  <c r="D32" i="9"/>
  <c r="D31" i="9"/>
  <c r="D30" i="9"/>
  <c r="D29" i="9"/>
  <c r="D28" i="9"/>
  <c r="D27" i="9"/>
  <c r="D26" i="9"/>
  <c r="D22" i="9"/>
  <c r="D21" i="9"/>
  <c r="D20" i="9"/>
  <c r="D19" i="9"/>
  <c r="D18" i="9"/>
  <c r="D17" i="9"/>
  <c r="D16" i="9"/>
  <c r="D15" i="9"/>
  <c r="D14" i="9"/>
  <c r="D13" i="9"/>
  <c r="D12" i="9"/>
  <c r="D11" i="9"/>
  <c r="J34" i="9" l="1"/>
  <c r="J33" i="9"/>
  <c r="J32" i="9"/>
  <c r="J31" i="9"/>
  <c r="J30" i="9"/>
  <c r="J29" i="9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2" i="9"/>
  <c r="J11" i="9"/>
  <c r="G42" i="1" l="1"/>
  <c r="G40" i="1"/>
  <c r="G39" i="1"/>
  <c r="G38" i="1"/>
  <c r="G36" i="1"/>
  <c r="G35" i="1"/>
  <c r="G34" i="1"/>
  <c r="G32" i="1"/>
  <c r="G31" i="1"/>
  <c r="G30" i="1"/>
  <c r="G25" i="1"/>
  <c r="G24" i="1"/>
  <c r="G23" i="1"/>
  <c r="G21" i="1"/>
  <c r="G20" i="1"/>
  <c r="G19" i="1"/>
  <c r="G17" i="1"/>
  <c r="G16" i="1"/>
  <c r="G15" i="1"/>
  <c r="G13" i="1"/>
  <c r="G12" i="1"/>
  <c r="G11" i="1"/>
  <c r="L42" i="1"/>
  <c r="L40" i="1"/>
  <c r="L39" i="1"/>
  <c r="L38" i="1"/>
  <c r="L36" i="1"/>
  <c r="L35" i="1"/>
  <c r="L34" i="1"/>
  <c r="L32" i="1"/>
  <c r="L31" i="1"/>
  <c r="L30" i="1"/>
  <c r="L25" i="1" l="1"/>
  <c r="L24" i="1"/>
  <c r="L23" i="1"/>
  <c r="L21" i="1"/>
  <c r="L20" i="1"/>
  <c r="L19" i="1"/>
  <c r="L17" i="1"/>
  <c r="L16" i="1"/>
  <c r="L15" i="1"/>
  <c r="L13" i="1"/>
  <c r="L12" i="1"/>
  <c r="L11" i="1"/>
  <c r="J42" i="1" l="1"/>
  <c r="J40" i="1"/>
  <c r="J39" i="1"/>
  <c r="B34" i="9"/>
  <c r="E34" i="9" s="1"/>
  <c r="K34" i="9" s="1"/>
  <c r="G34" i="9" s="1"/>
  <c r="I34" i="9" s="1"/>
  <c r="B34" i="2"/>
  <c r="E34" i="2" s="1"/>
  <c r="I34" i="2" s="1"/>
  <c r="G34" i="2" s="1"/>
  <c r="E41" i="1" l="1"/>
  <c r="B33" i="2"/>
  <c r="E33" i="2" s="1"/>
  <c r="I33" i="2" s="1"/>
  <c r="G33" i="2" s="1"/>
  <c r="B33" i="9"/>
  <c r="E33" i="9" s="1"/>
  <c r="K33" i="9" s="1"/>
  <c r="G33" i="9" s="1"/>
  <c r="I33" i="9" s="1"/>
  <c r="B32" i="9" l="1"/>
  <c r="E32" i="9" s="1"/>
  <c r="K32" i="9" s="1"/>
  <c r="G32" i="9" s="1"/>
  <c r="I32" i="9" s="1"/>
  <c r="B32" i="2"/>
  <c r="E32" i="2" s="1"/>
  <c r="I32" i="2" s="1"/>
  <c r="G32" i="2" s="1"/>
  <c r="E46" i="3" l="1"/>
  <c r="H46" i="3" s="1"/>
  <c r="N46" i="3" s="1"/>
  <c r="B33" i="3"/>
  <c r="E33" i="3" s="1"/>
  <c r="I33" i="3" s="1"/>
  <c r="G33" i="3" s="1"/>
  <c r="B21" i="3"/>
  <c r="E21" i="3" s="1"/>
  <c r="G21" i="3" s="1"/>
  <c r="I21" i="3" s="1"/>
  <c r="B8" i="3"/>
  <c r="E8" i="3" s="1"/>
  <c r="J8" i="3" s="1"/>
  <c r="B8" i="9"/>
  <c r="E8" i="9" s="1"/>
  <c r="K8" i="9" s="1"/>
  <c r="G8" i="9" s="1"/>
  <c r="I8" i="9" s="1"/>
  <c r="B8" i="2"/>
  <c r="E8" i="2" s="1"/>
  <c r="I8" i="2" s="1"/>
  <c r="N6" i="1"/>
  <c r="E8" i="1"/>
  <c r="H8" i="1" s="1"/>
  <c r="M8" i="1" s="1"/>
  <c r="K8" i="1" s="1"/>
  <c r="D8" i="1"/>
  <c r="E6" i="1"/>
  <c r="B31" i="9"/>
  <c r="B31" i="2"/>
  <c r="E31" i="2" s="1"/>
  <c r="I31" i="2" s="1"/>
  <c r="L41" i="1"/>
  <c r="J38" i="1"/>
  <c r="J41" i="1" s="1"/>
  <c r="G41" i="1"/>
  <c r="H41" i="1" l="1"/>
  <c r="M41" i="1" s="1"/>
  <c r="K41" i="1" s="1"/>
  <c r="E31" i="9"/>
  <c r="K31" i="9" s="1"/>
  <c r="G31" i="9" s="1"/>
  <c r="I31" i="9" s="1"/>
  <c r="G31" i="2"/>
  <c r="J36" i="1"/>
  <c r="B30" i="9"/>
  <c r="B30" i="2"/>
  <c r="E37" i="1"/>
  <c r="E30" i="9" l="1"/>
  <c r="K30" i="9" s="1"/>
  <c r="G30" i="9" s="1"/>
  <c r="I30" i="9" s="1"/>
  <c r="E30" i="2"/>
  <c r="I30" i="2" s="1"/>
  <c r="G30" i="2" s="1"/>
  <c r="J35" i="1" l="1"/>
  <c r="B29" i="9"/>
  <c r="E29" i="9" s="1"/>
  <c r="K29" i="9" s="1"/>
  <c r="G29" i="9" s="1"/>
  <c r="I29" i="9" s="1"/>
  <c r="B29" i="2"/>
  <c r="E29" i="2" s="1"/>
  <c r="I29" i="2" s="1"/>
  <c r="G29" i="2" s="1"/>
  <c r="L37" i="1"/>
  <c r="G37" i="1"/>
  <c r="H37" i="1" s="1"/>
  <c r="M37" i="1" s="1"/>
  <c r="J34" i="1"/>
  <c r="J32" i="1"/>
  <c r="J37" i="1" l="1"/>
  <c r="K37" i="1" s="1"/>
  <c r="B28" i="9"/>
  <c r="E28" i="9" s="1"/>
  <c r="K28" i="9" s="1"/>
  <c r="G28" i="9" s="1"/>
  <c r="I28" i="9" s="1"/>
  <c r="B28" i="2"/>
  <c r="E28" i="2" s="1"/>
  <c r="I28" i="2" s="1"/>
  <c r="G28" i="2" s="1"/>
  <c r="B27" i="9" l="1"/>
  <c r="B27" i="2"/>
  <c r="E27" i="9" l="1"/>
  <c r="K27" i="9" s="1"/>
  <c r="G27" i="9" s="1"/>
  <c r="I27" i="9" s="1"/>
  <c r="E27" i="2"/>
  <c r="I27" i="2" s="1"/>
  <c r="G27" i="2" s="1"/>
  <c r="J31" i="1" l="1"/>
  <c r="E33" i="1" l="1"/>
  <c r="B26" i="9"/>
  <c r="E26" i="9" s="1"/>
  <c r="K26" i="9" s="1"/>
  <c r="G26" i="9" s="1"/>
  <c r="I26" i="9" s="1"/>
  <c r="B26" i="2"/>
  <c r="E26" i="2" s="1"/>
  <c r="I26" i="2" s="1"/>
  <c r="G26" i="2" s="1"/>
  <c r="B20" i="3" l="1"/>
  <c r="L33" i="1" l="1"/>
  <c r="L44" i="1" s="1"/>
  <c r="G33" i="1"/>
  <c r="G44" i="1" s="1"/>
  <c r="H33" i="1" l="1"/>
  <c r="M33" i="1" s="1"/>
  <c r="J30" i="1"/>
  <c r="J33" i="1" s="1"/>
  <c r="J44" i="1" s="1"/>
  <c r="K33" i="1" l="1"/>
  <c r="L6" i="9"/>
  <c r="H23" i="9"/>
  <c r="H6" i="9" s="1"/>
  <c r="C23" i="9"/>
  <c r="C6" i="9" s="1"/>
  <c r="B22" i="9"/>
  <c r="E22" i="9" s="1"/>
  <c r="K22" i="9" s="1"/>
  <c r="G22" i="9" s="1"/>
  <c r="I22" i="9" s="1"/>
  <c r="J6" i="2"/>
  <c r="C23" i="2"/>
  <c r="C6" i="2" s="1"/>
  <c r="B22" i="2"/>
  <c r="E22" i="2" s="1"/>
  <c r="I22" i="2" s="1"/>
  <c r="G22" i="2" s="1"/>
  <c r="J25" i="1" l="1"/>
  <c r="J24" i="1"/>
  <c r="B21" i="9" l="1"/>
  <c r="E21" i="9" s="1"/>
  <c r="K21" i="9" s="1"/>
  <c r="G21" i="9" s="1"/>
  <c r="I21" i="9" s="1"/>
  <c r="B21" i="2"/>
  <c r="E21" i="2" s="1"/>
  <c r="I21" i="2" s="1"/>
  <c r="G21" i="2" s="1"/>
  <c r="E26" i="1"/>
  <c r="B20" i="9" l="1"/>
  <c r="E20" i="9" s="1"/>
  <c r="K20" i="9" s="1"/>
  <c r="D20" i="2"/>
  <c r="B20" i="2"/>
  <c r="E20" i="2" s="1"/>
  <c r="I20" i="2" s="1"/>
  <c r="G20" i="9" l="1"/>
  <c r="G20" i="2"/>
  <c r="I20" i="9" l="1"/>
  <c r="D45" i="3"/>
  <c r="B7" i="9"/>
  <c r="D7" i="1"/>
  <c r="L26" i="1"/>
  <c r="G26" i="1"/>
  <c r="H26" i="1" s="1"/>
  <c r="M26" i="1" s="1"/>
  <c r="B19" i="9"/>
  <c r="B19" i="2"/>
  <c r="J23" i="1"/>
  <c r="J26" i="1" s="1"/>
  <c r="E19" i="2" l="1"/>
  <c r="I19" i="2" s="1"/>
  <c r="G19" i="2" s="1"/>
  <c r="E19" i="9"/>
  <c r="K19" i="9" s="1"/>
  <c r="G19" i="9" s="1"/>
  <c r="K26" i="1"/>
  <c r="D23" i="9"/>
  <c r="D6" i="9" s="1"/>
  <c r="J23" i="9" l="1"/>
  <c r="J6" i="9" s="1"/>
  <c r="I19" i="9"/>
  <c r="H23" i="2" l="1"/>
  <c r="H6" i="2" s="1"/>
  <c r="D23" i="2"/>
  <c r="D6" i="2" s="1"/>
  <c r="J21" i="1"/>
  <c r="J20" i="1"/>
  <c r="J19" i="1"/>
  <c r="J17" i="1"/>
  <c r="J16" i="1"/>
  <c r="J15" i="1"/>
  <c r="J13" i="1"/>
  <c r="J12" i="1"/>
  <c r="J11" i="1"/>
  <c r="B18" i="9" l="1"/>
  <c r="B18" i="2"/>
  <c r="E18" i="2" s="1"/>
  <c r="E22" i="1"/>
  <c r="G22" i="1"/>
  <c r="H22" i="1" l="1"/>
  <c r="M22" i="1" s="1"/>
  <c r="E18" i="9"/>
  <c r="K18" i="9" s="1"/>
  <c r="G18" i="9" s="1"/>
  <c r="I18" i="2"/>
  <c r="G18" i="2" s="1"/>
  <c r="B38" i="9"/>
  <c r="I18" i="9" l="1"/>
  <c r="I19" i="3"/>
  <c r="B7" i="2" l="1"/>
  <c r="L22" i="1" l="1"/>
  <c r="B17" i="9" l="1"/>
  <c r="E17" i="9" s="1"/>
  <c r="J22" i="1"/>
  <c r="K22" i="1" s="1"/>
  <c r="B17" i="2"/>
  <c r="E17" i="2" s="1"/>
  <c r="K17" i="9" l="1"/>
  <c r="G17" i="9" s="1"/>
  <c r="I17" i="9" s="1"/>
  <c r="I17" i="2"/>
  <c r="G17" i="2" l="1"/>
  <c r="A16" i="10" l="1"/>
  <c r="B16" i="9" l="1"/>
  <c r="E16" i="9" s="1"/>
  <c r="K16" i="9" s="1"/>
  <c r="G16" i="9" s="1"/>
  <c r="I16" i="9" s="1"/>
  <c r="B16" i="2"/>
  <c r="E16" i="2" s="1"/>
  <c r="E7" i="2"/>
  <c r="E7" i="9"/>
  <c r="K7" i="9" s="1"/>
  <c r="G7" i="9" s="1"/>
  <c r="I7" i="9" s="1"/>
  <c r="I7" i="2" l="1"/>
  <c r="I16" i="2"/>
  <c r="G16" i="2" s="1"/>
  <c r="B7" i="3"/>
  <c r="E7" i="3" s="1"/>
  <c r="E20" i="3"/>
  <c r="G20" i="3" s="1"/>
  <c r="I20" i="3" s="1"/>
  <c r="B32" i="3"/>
  <c r="E45" i="3"/>
  <c r="H45" i="3" s="1"/>
  <c r="D44" i="3"/>
  <c r="N45" i="3" l="1"/>
  <c r="E32" i="3"/>
  <c r="I32" i="3" s="1"/>
  <c r="G32" i="3" s="1"/>
  <c r="B15" i="2"/>
  <c r="E18" i="1"/>
  <c r="E15" i="2" l="1"/>
  <c r="I15" i="2" l="1"/>
  <c r="G15" i="2" s="1"/>
  <c r="E19" i="3"/>
  <c r="B15" i="9"/>
  <c r="E15" i="9" s="1"/>
  <c r="K15" i="9" s="1"/>
  <c r="G15" i="9" s="1"/>
  <c r="I15" i="9" s="1"/>
  <c r="B49" i="5" l="1"/>
  <c r="L18" i="1" l="1"/>
  <c r="G18" i="1"/>
  <c r="H18" i="1" s="1"/>
  <c r="M18" i="1" s="1"/>
  <c r="B14" i="2" l="1"/>
  <c r="E14" i="2" s="1"/>
  <c r="B14" i="9"/>
  <c r="E14" i="9" s="1"/>
  <c r="K14" i="9" s="1"/>
  <c r="G14" i="9" s="1"/>
  <c r="I14" i="9" s="1"/>
  <c r="J18" i="1"/>
  <c r="F27" i="1"/>
  <c r="I14" i="2" l="1"/>
  <c r="K18" i="1"/>
  <c r="G14" i="2" l="1"/>
  <c r="B13" i="9" l="1"/>
  <c r="E13" i="9" s="1"/>
  <c r="K13" i="9" s="1"/>
  <c r="G13" i="9" s="1"/>
  <c r="I13" i="9" s="1"/>
  <c r="B13" i="2" l="1"/>
  <c r="E13" i="2" s="1"/>
  <c r="I13" i="2" l="1"/>
  <c r="G13" i="2" s="1"/>
  <c r="L14" i="1"/>
  <c r="L27" i="1" s="1"/>
  <c r="L6" i="1" s="1"/>
  <c r="B12" i="9" l="1"/>
  <c r="E12" i="9" s="1"/>
  <c r="K12" i="9" s="1"/>
  <c r="G12" i="9" s="1"/>
  <c r="I12" i="9" s="1"/>
  <c r="B12" i="2"/>
  <c r="E12" i="2" s="1"/>
  <c r="I12" i="2" l="1"/>
  <c r="G12" i="2" s="1"/>
  <c r="J14" i="1"/>
  <c r="J27" i="1" s="1"/>
  <c r="J6" i="1" s="1"/>
  <c r="E23" i="2"/>
  <c r="E6" i="2" s="1"/>
  <c r="G14" i="1" l="1"/>
  <c r="G27" i="1" s="1"/>
  <c r="G6" i="1" s="1"/>
  <c r="E23" i="9" l="1"/>
  <c r="E6" i="9" s="1"/>
  <c r="K6" i="9" s="1"/>
  <c r="H44" i="3" l="1"/>
  <c r="E31" i="3"/>
  <c r="E6" i="3"/>
  <c r="J6" i="3" s="1"/>
  <c r="N44" i="3" l="1"/>
  <c r="I31" i="3"/>
  <c r="G31" i="3" s="1"/>
  <c r="D6" i="1" l="1"/>
  <c r="B50" i="3" l="1"/>
  <c r="E11" i="9" l="1"/>
  <c r="E11" i="2"/>
  <c r="B47" i="1"/>
  <c r="K11" i="9" l="1"/>
  <c r="I11" i="2"/>
  <c r="I23" i="2" s="1"/>
  <c r="I6" i="2" s="1"/>
  <c r="G11" i="2"/>
  <c r="G23" i="2" s="1"/>
  <c r="G6" i="2" s="1"/>
  <c r="K23" i="9" l="1"/>
  <c r="G11" i="9"/>
  <c r="B50" i="6"/>
  <c r="B48" i="4"/>
  <c r="B38" i="2"/>
  <c r="I11" i="9" l="1"/>
  <c r="I23" i="9" s="1"/>
  <c r="I6" i="9" s="1"/>
  <c r="G23" i="9"/>
  <c r="G6" i="9" s="1"/>
  <c r="J7" i="3" l="1"/>
  <c r="H6" i="1" l="1"/>
  <c r="M6" i="1" s="1"/>
  <c r="K6" i="1" s="1"/>
  <c r="H14" i="1"/>
  <c r="M14" i="1" s="1"/>
  <c r="H27" i="1" l="1"/>
  <c r="M27" i="1"/>
  <c r="K14" i="1"/>
  <c r="K27" i="1" s="1"/>
  <c r="E7" i="1" s="1"/>
  <c r="H7" i="1" s="1"/>
  <c r="M7" i="1" s="1"/>
  <c r="K7" i="1" s="1"/>
</calcChain>
</file>

<file path=xl/sharedStrings.xml><?xml version="1.0" encoding="utf-8"?>
<sst xmlns="http://schemas.openxmlformats.org/spreadsheetml/2006/main" count="564" uniqueCount="183">
  <si>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</si>
  <si>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</si>
  <si>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</si>
  <si>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</si>
  <si>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</si>
  <si>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</si>
  <si>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</si>
  <si>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</si>
  <si>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</si>
  <si>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</si>
  <si>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</si>
  <si>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Aaron M. Ates; Maria Bukowski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</si>
  <si>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</si>
  <si>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</si>
  <si>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</si>
  <si>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</si>
  <si>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</si>
  <si>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</si>
  <si>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</si>
  <si>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</si>
  <si>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</si>
  <si>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</si>
  <si>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</si>
  <si>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</si>
  <si>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</si>
  <si>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</si>
  <si>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</si>
  <si>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</si>
  <si>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</si>
  <si>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</si>
  <si>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</si>
  <si>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</si>
  <si>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</si>
  <si>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</si>
  <si>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2020/21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</si>
  <si>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</si>
  <si>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</si>
  <si>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</si>
  <si>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</si>
  <si>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</si>
  <si>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</si>
  <si>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</si>
  <si>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</si>
  <si>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</si>
  <si>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</si>
  <si>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</si>
  <si>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</si>
  <si>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</si>
  <si>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</si>
  <si>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</si>
  <si>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</si>
  <si>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</si>
  <si>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</si>
  <si>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2021/22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</si>
  <si>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36.744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</si>
  <si>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</si>
  <si>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</si>
  <si>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</si>
  <si>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</si>
  <si>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</si>
  <si>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</si>
  <si>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</si>
  <si>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</si>
  <si>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</si>
  <si>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</si>
  <si>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</si>
  <si>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</si>
  <si>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</si>
  <si>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</si>
  <si>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</si>
  <si>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</si>
  <si>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</si>
  <si>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</si>
  <si>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</si>
  <si>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</si>
  <si>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</si>
  <si>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</si>
  <si>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</si>
  <si>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</si>
  <si>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</si>
  <si>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</si>
  <si>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</si>
  <si>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</si>
  <si>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</si>
  <si>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</si>
  <si>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</si>
  <si>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</si>
  <si>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</si>
  <si>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</si>
  <si>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Supply,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</si>
  <si>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>Million Pounds</t>
  </si>
  <si>
    <t xml:space="preserve">food </t>
  </si>
  <si>
    <t>1,000 acres</t>
  </si>
  <si>
    <t>Pounds/acre</t>
  </si>
  <si>
    <t xml:space="preserve">      Million pounds</t>
  </si>
  <si>
    <r>
      <t xml:space="preserve">Sources: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</si>
  <si>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</si>
  <si>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</si>
  <si>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</si>
  <si>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</si>
  <si>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</si>
  <si>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</si>
  <si>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</si>
  <si>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</si>
  <si>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</si>
  <si>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</si>
  <si>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</si>
  <si>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</si>
  <si>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</si>
  <si>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</si>
  <si>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</si>
  <si>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</si>
  <si>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</si>
  <si>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</si>
  <si>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</si>
  <si>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</si>
  <si>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</si>
  <si>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</si>
  <si>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r>
      <t>2021/22</t>
    </r>
    <r>
      <rPr>
        <vertAlign val="superscript"/>
        <sz val="11"/>
        <rFont val="Arial"/>
        <family val="2"/>
      </rPr>
      <t>4</t>
    </r>
  </si>
  <si>
    <r>
      <t>2022/23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</si>
  <si>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</si>
  <si>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</si>
  <si>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</si>
  <si>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</si>
  <si>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</si>
  <si>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</si>
  <si>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</si>
  <si>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</si>
  <si>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</si>
  <si>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</si>
  <si>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</si>
  <si>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</si>
  <si>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</si>
  <si>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</si>
  <si>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</si>
  <si>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</si>
  <si>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</si>
  <si>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2021/22</t>
    </r>
    <r>
      <rPr>
        <vertAlign val="superscript"/>
        <sz val="11"/>
        <rFont val="Arial"/>
        <family val="2"/>
      </rPr>
      <t>7</t>
    </r>
  </si>
  <si>
    <r>
      <t>2022/23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</si>
  <si>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</si>
  <si>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</si>
  <si>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</si>
  <si>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</si>
  <si>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</si>
  <si>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</si>
  <si>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</si>
  <si>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</si>
  <si>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</si>
  <si>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</si>
  <si>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</si>
  <si>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</si>
  <si>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t xml:space="preserve">January 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</si>
  <si>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</si>
  <si>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</si>
  <si>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Sources: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</si>
  <si>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Region</t>
  </si>
  <si>
    <t>Delta</t>
  </si>
  <si>
    <t>East Corn Belt</t>
  </si>
  <si>
    <t>West Corn Belt</t>
  </si>
  <si>
    <t>Central Plains</t>
  </si>
  <si>
    <t>Northern Plains</t>
  </si>
  <si>
    <t>Others</t>
  </si>
  <si>
    <t>Month</t>
  </si>
  <si>
    <t>Oct.</t>
  </si>
  <si>
    <t>Nov.</t>
  </si>
  <si>
    <t>Dec.</t>
  </si>
  <si>
    <t>Jan.</t>
  </si>
  <si>
    <t>Feb.</t>
  </si>
  <si>
    <t>Mar.</t>
  </si>
  <si>
    <t>Apr.</t>
  </si>
  <si>
    <t>Jun.</t>
  </si>
  <si>
    <t>Jul.</t>
  </si>
  <si>
    <t>Aug.</t>
  </si>
  <si>
    <t>Sep.</t>
  </si>
  <si>
    <t>Soybean meal, high-protein, Decatur, IL</t>
  </si>
  <si>
    <t>Canola meal, 34-percent North Dakota-Minnesota</t>
  </si>
  <si>
    <t>Production marketing year</t>
  </si>
  <si>
    <t>Australia</t>
  </si>
  <si>
    <t>Canada</t>
  </si>
  <si>
    <t>European Union</t>
  </si>
  <si>
    <t>World total</t>
  </si>
  <si>
    <t>Aug. 2022/23*</t>
  </si>
  <si>
    <t>Sep. 2022/23*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</si>
</sst>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#,##0.00_)"/>
    <numFmt numFmtId="173" formatCode="0.0%"/>
    <numFmt numFmtId="174" formatCode="_(* #,##0.00_);_(* \(#,##0.00\);_(* &quot;-&quot;_);_(@_)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Helvetica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Courie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25" fillId="0" borderId="0"/>
    <xf numFmtId="0" fontId="10" fillId="0" borderId="0"/>
    <xf numFmtId="0" fontId="9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2" fillId="0" borderId="0"/>
    <xf numFmtId="0" fontId="1" fillId="0" borderId="0"/>
  </cellStyleXfs>
  <cellXfs count="176">
    <xf numFmtId="0" fontId="0" fillId="0" borderId="0" xfId="0"/>
    <xf numFmtId="0" fontId="12" fillId="0" borderId="0" xfId="8" applyFont="1"/>
    <xf numFmtId="0" fontId="13" fillId="0" borderId="0" xfId="8" applyFont="1"/>
    <xf numFmtId="0" fontId="18" fillId="0" borderId="0" xfId="8" applyFont="1" applyFill="1"/>
    <xf numFmtId="0" fontId="19" fillId="0" borderId="0" xfId="8" applyFont="1"/>
    <xf numFmtId="169" fontId="20" fillId="0" borderId="0" xfId="1" applyNumberFormat="1" applyFont="1" applyFill="1" applyAlignment="1">
      <alignment horizontal="right" indent="1"/>
    </xf>
    <xf numFmtId="169" fontId="20" fillId="0" borderId="0" xfId="1" applyNumberFormat="1" applyFont="1" applyFill="1" applyBorder="1" applyAlignment="1">
      <alignment horizontal="center"/>
    </xf>
    <xf numFmtId="169" fontId="20" fillId="0" borderId="0" xfId="1" applyNumberFormat="1" applyFont="1" applyFill="1" applyBorder="1" applyAlignment="1">
      <alignment horizontal="right" indent="1"/>
    </xf>
    <xf numFmtId="0" fontId="26" fillId="0" borderId="0" xfId="7" applyFont="1" applyAlignment="1">
      <alignment horizontal="left"/>
    </xf>
    <xf numFmtId="0" fontId="27" fillId="0" borderId="0" xfId="5" applyFont="1" applyAlignment="1" applyProtection="1"/>
    <xf numFmtId="14" fontId="26" fillId="0" borderId="0" xfId="7" applyNumberFormat="1" applyFont="1" applyAlignment="1">
      <alignment horizontal="left"/>
    </xf>
    <xf numFmtId="0" fontId="27" fillId="0" borderId="0" xfId="4" applyFont="1" applyAlignment="1" applyProtection="1"/>
    <xf numFmtId="0" fontId="20" fillId="0" borderId="0" xfId="7" quotePrefix="1" applyFont="1" applyAlignment="1">
      <alignment horizontal="left"/>
    </xf>
    <xf numFmtId="0" fontId="20" fillId="0" borderId="0" xfId="8" applyFont="1" applyBorder="1" applyAlignment="1">
      <alignment wrapText="1"/>
    </xf>
    <xf numFmtId="169" fontId="20" fillId="0" borderId="0" xfId="1" applyNumberFormat="1" applyFont="1" applyFill="1" applyBorder="1" applyAlignment="1">
      <alignment horizontal="right"/>
    </xf>
    <xf numFmtId="169" fontId="20" fillId="0" borderId="0" xfId="0" applyNumberFormat="1" applyFont="1" applyFill="1"/>
    <xf numFmtId="2" fontId="20" fillId="0" borderId="1" xfId="0" applyNumberFormat="1" applyFont="1" applyFill="1" applyBorder="1" applyAlignment="1">
      <alignment horizontal="right" indent="2"/>
    </xf>
    <xf numFmtId="0" fontId="20" fillId="0" borderId="1" xfId="0" applyFont="1" applyFill="1" applyBorder="1"/>
    <xf numFmtId="0" fontId="0" fillId="0" borderId="0" xfId="0" applyFill="1"/>
    <xf numFmtId="0" fontId="20" fillId="0" borderId="0" xfId="0" applyFont="1" applyFill="1"/>
    <xf numFmtId="0" fontId="20" fillId="0" borderId="2" xfId="0" applyFont="1" applyFill="1" applyBorder="1" applyAlignment="1">
      <alignment horizontal="right"/>
    </xf>
    <xf numFmtId="0" fontId="20" fillId="0" borderId="0" xfId="0" applyFont="1" applyFill="1" applyAlignment="1">
      <alignment horizontal="center"/>
    </xf>
    <xf numFmtId="0" fontId="0" fillId="0" borderId="2" xfId="0" applyFill="1" applyBorder="1"/>
    <xf numFmtId="0" fontId="20" fillId="0" borderId="0" xfId="0" applyFont="1" applyFill="1" applyBorder="1"/>
    <xf numFmtId="0" fontId="20" fillId="0" borderId="2" xfId="0" applyFont="1" applyFill="1" applyBorder="1" applyAlignment="1">
      <alignment horizontal="left"/>
    </xf>
    <xf numFmtId="0" fontId="20" fillId="0" borderId="0" xfId="0" applyFont="1" applyFill="1" applyAlignment="1">
      <alignment horizontal="right"/>
    </xf>
    <xf numFmtId="16" fontId="20" fillId="0" borderId="1" xfId="0" quotePrefix="1" applyNumberFormat="1" applyFont="1" applyFill="1" applyBorder="1"/>
    <xf numFmtId="16" fontId="20" fillId="0" borderId="1" xfId="0" applyNumberFormat="1" applyFont="1" applyFill="1" applyBorder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 indent="1"/>
    </xf>
    <xf numFmtId="0" fontId="0" fillId="0" borderId="0" xfId="0" applyFill="1" applyAlignment="1">
      <alignment horizontal="left" indent="1"/>
    </xf>
    <xf numFmtId="0" fontId="21" fillId="0" borderId="3" xfId="0" quotePrefix="1" applyFont="1" applyFill="1" applyBorder="1" applyAlignment="1">
      <alignment horizontal="center"/>
    </xf>
    <xf numFmtId="0" fontId="21" fillId="0" borderId="0" xfId="0" quotePrefix="1" applyFont="1" applyFill="1" applyAlignment="1">
      <alignment horizontal="right"/>
    </xf>
    <xf numFmtId="167" fontId="20" fillId="0" borderId="0" xfId="0" applyNumberFormat="1" applyFont="1" applyFill="1" applyAlignment="1">
      <alignment horizontal="center"/>
    </xf>
    <xf numFmtId="165" fontId="20" fillId="0" borderId="0" xfId="1" applyNumberFormat="1" applyFont="1" applyFill="1" applyAlignment="1">
      <alignment horizontal="left"/>
    </xf>
    <xf numFmtId="165" fontId="20" fillId="0" borderId="0" xfId="1" applyNumberFormat="1" applyFont="1" applyFill="1" applyAlignment="1">
      <alignment horizontal="center"/>
    </xf>
    <xf numFmtId="3" fontId="20" fillId="0" borderId="0" xfId="1" applyNumberFormat="1" applyFont="1" applyFill="1" applyBorder="1" applyAlignment="1">
      <alignment horizontal="right" indent="1"/>
    </xf>
    <xf numFmtId="164" fontId="20" fillId="0" borderId="0" xfId="1" applyNumberFormat="1" applyFont="1" applyFill="1" applyBorder="1"/>
    <xf numFmtId="164" fontId="20" fillId="0" borderId="0" xfId="1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6" fillId="0" borderId="0" xfId="0" applyFont="1" applyFill="1"/>
    <xf numFmtId="169" fontId="20" fillId="0" borderId="0" xfId="1" quotePrefix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center"/>
    </xf>
    <xf numFmtId="164" fontId="20" fillId="0" borderId="0" xfId="1" quotePrefix="1" applyNumberFormat="1" applyFont="1" applyFill="1" applyBorder="1" applyAlignment="1">
      <alignment horizontal="center"/>
    </xf>
    <xf numFmtId="169" fontId="20" fillId="0" borderId="0" xfId="1" quotePrefix="1" applyNumberFormat="1" applyFont="1" applyFill="1" applyAlignment="1">
      <alignment horizontal="right"/>
    </xf>
    <xf numFmtId="169" fontId="0" fillId="0" borderId="0" xfId="0" applyNumberFormat="1" applyFill="1"/>
    <xf numFmtId="3" fontId="20" fillId="0" borderId="0" xfId="0" applyNumberFormat="1" applyFont="1" applyFill="1"/>
    <xf numFmtId="169" fontId="20" fillId="0" borderId="1" xfId="1" applyNumberFormat="1" applyFont="1" applyFill="1" applyBorder="1" applyAlignment="1">
      <alignment horizontal="right" indent="1"/>
    </xf>
    <xf numFmtId="164" fontId="20" fillId="0" borderId="0" xfId="1" applyNumberFormat="1" applyFont="1" applyFill="1"/>
    <xf numFmtId="14" fontId="20" fillId="0" borderId="0" xfId="0" applyNumberFormat="1" applyFont="1" applyFill="1" applyAlignment="1">
      <alignment horizontal="left"/>
    </xf>
    <xf numFmtId="0" fontId="0" fillId="0" borderId="0" xfId="0" applyFill="1" applyProtection="1"/>
    <xf numFmtId="3" fontId="20" fillId="0" borderId="0" xfId="1" applyNumberFormat="1" applyFont="1" applyFill="1" applyAlignment="1">
      <alignment horizontal="right" indent="2"/>
    </xf>
    <xf numFmtId="3" fontId="20" fillId="0" borderId="0" xfId="1" applyNumberFormat="1" applyFont="1" applyFill="1" applyAlignment="1">
      <alignment horizontal="right" indent="1"/>
    </xf>
    <xf numFmtId="3" fontId="20" fillId="0" borderId="0" xfId="1" applyNumberFormat="1" applyFont="1" applyFill="1" applyAlignment="1">
      <alignment horizontal="center"/>
    </xf>
    <xf numFmtId="0" fontId="26" fillId="0" borderId="0" xfId="0" applyFont="1" applyFill="1" applyBorder="1"/>
    <xf numFmtId="169" fontId="20" fillId="0" borderId="0" xfId="1" applyNumberFormat="1" applyFont="1" applyFill="1" applyBorder="1" applyAlignment="1">
      <alignment horizontal="right" indent="2"/>
    </xf>
    <xf numFmtId="169" fontId="20" fillId="0" borderId="1" xfId="1" applyNumberFormat="1" applyFont="1" applyFill="1" applyBorder="1" applyAlignment="1">
      <alignment horizontal="right" indent="2"/>
    </xf>
    <xf numFmtId="0" fontId="22" fillId="0" borderId="0" xfId="0" applyFont="1" applyFill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9" fontId="20" fillId="0" borderId="0" xfId="0" applyNumberFormat="1" applyFont="1" applyFill="1" applyBorder="1"/>
    <xf numFmtId="169" fontId="20" fillId="0" borderId="1" xfId="1" applyNumberFormat="1" applyFont="1" applyFill="1" applyBorder="1" applyAlignment="1">
      <alignment horizontal="center"/>
    </xf>
    <xf numFmtId="165" fontId="20" fillId="0" borderId="1" xfId="1" applyNumberFormat="1" applyFont="1" applyFill="1" applyBorder="1" applyAlignment="1">
      <alignment horizontal="right"/>
    </xf>
    <xf numFmtId="16" fontId="20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right" indent="2"/>
    </xf>
    <xf numFmtId="170" fontId="20" fillId="0" borderId="0" xfId="0" applyNumberFormat="1" applyFont="1" applyFill="1" applyBorder="1"/>
    <xf numFmtId="43" fontId="20" fillId="0" borderId="0" xfId="1" quotePrefix="1" applyNumberFormat="1" applyFont="1" applyFill="1" applyBorder="1" applyAlignment="1">
      <alignment horizontal="center"/>
    </xf>
    <xf numFmtId="166" fontId="20" fillId="0" borderId="0" xfId="1" quotePrefix="1" applyNumberFormat="1" applyFont="1" applyFill="1" applyBorder="1" applyAlignment="1">
      <alignment horizontal="center"/>
    </xf>
    <xf numFmtId="43" fontId="20" fillId="0" borderId="0" xfId="1" quotePrefix="1" applyFont="1" applyFill="1" applyBorder="1" applyAlignment="1">
      <alignment horizontal="center"/>
    </xf>
    <xf numFmtId="43" fontId="20" fillId="0" borderId="0" xfId="1" applyNumberFormat="1" applyFont="1" applyFill="1" applyBorder="1" applyAlignment="1">
      <alignment horizontal="center"/>
    </xf>
    <xf numFmtId="0" fontId="26" fillId="0" borderId="0" xfId="0" quotePrefix="1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indent="1"/>
    </xf>
    <xf numFmtId="0" fontId="20" fillId="0" borderId="3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1" fillId="0" borderId="3" xfId="0" quotePrefix="1" applyFont="1" applyFill="1" applyBorder="1" applyAlignment="1"/>
    <xf numFmtId="0" fontId="21" fillId="0" borderId="3" xfId="0" applyFont="1" applyFill="1" applyBorder="1" applyAlignment="1"/>
    <xf numFmtId="43" fontId="20" fillId="0" borderId="0" xfId="1" applyNumberFormat="1" applyFont="1" applyFill="1" applyBorder="1"/>
    <xf numFmtId="2" fontId="20" fillId="0" borderId="0" xfId="0" applyNumberFormat="1" applyFont="1" applyFill="1" applyBorder="1" applyAlignment="1">
      <alignment horizontal="center"/>
    </xf>
    <xf numFmtId="43" fontId="20" fillId="0" borderId="0" xfId="0" applyNumberFormat="1" applyFont="1" applyFill="1"/>
    <xf numFmtId="0" fontId="15" fillId="0" borderId="0" xfId="0" applyFont="1" applyFill="1"/>
    <xf numFmtId="2" fontId="0" fillId="0" borderId="0" xfId="0" applyNumberFormat="1" applyFill="1"/>
    <xf numFmtId="165" fontId="20" fillId="0" borderId="0" xfId="1" applyNumberFormat="1" applyFont="1" applyFill="1" applyBorder="1" applyAlignment="1">
      <alignment horizontal="center"/>
    </xf>
    <xf numFmtId="47" fontId="0" fillId="0" borderId="0" xfId="0" applyNumberFormat="1" applyFill="1"/>
    <xf numFmtId="43" fontId="20" fillId="0" borderId="0" xfId="1" applyFont="1" applyFill="1" applyBorder="1" applyAlignment="1">
      <alignment horizontal="center"/>
    </xf>
    <xf numFmtId="43" fontId="0" fillId="0" borderId="0" xfId="1" applyFont="1" applyFill="1"/>
    <xf numFmtId="0" fontId="24" fillId="0" borderId="0" xfId="0" applyFont="1" applyFill="1" applyAlignment="1">
      <alignment vertical="center"/>
    </xf>
    <xf numFmtId="168" fontId="0" fillId="0" borderId="0" xfId="0" applyNumberFormat="1" applyFill="1"/>
    <xf numFmtId="168" fontId="20" fillId="0" borderId="0" xfId="0" applyNumberFormat="1" applyFont="1" applyFill="1"/>
    <xf numFmtId="2" fontId="20" fillId="0" borderId="0" xfId="0" applyNumberFormat="1" applyFont="1" applyFill="1"/>
    <xf numFmtId="43" fontId="0" fillId="0" borderId="0" xfId="1" applyFont="1" applyFill="1" applyBorder="1"/>
    <xf numFmtId="43" fontId="0" fillId="0" borderId="0" xfId="0" applyNumberFormat="1" applyFill="1"/>
    <xf numFmtId="0" fontId="20" fillId="0" borderId="3" xfId="0" applyFont="1" applyFill="1" applyBorder="1"/>
    <xf numFmtId="0" fontId="20" fillId="0" borderId="0" xfId="0" applyFont="1" applyFill="1" applyBorder="1" applyAlignment="1">
      <alignment horizontal="right"/>
    </xf>
    <xf numFmtId="165" fontId="20" fillId="0" borderId="0" xfId="1" applyNumberFormat="1" applyFont="1" applyFill="1"/>
    <xf numFmtId="37" fontId="20" fillId="0" borderId="0" xfId="1" applyNumberFormat="1" applyFont="1" applyFill="1" applyBorder="1" applyAlignment="1">
      <alignment horizontal="center"/>
    </xf>
    <xf numFmtId="37" fontId="20" fillId="0" borderId="0" xfId="1" applyNumberFormat="1" applyFont="1" applyFill="1" applyBorder="1" applyAlignment="1">
      <alignment horizontal="right" indent="2"/>
    </xf>
    <xf numFmtId="165" fontId="20" fillId="0" borderId="0" xfId="1" applyNumberFormat="1" applyFont="1" applyFill="1" applyBorder="1"/>
    <xf numFmtId="37" fontId="20" fillId="0" borderId="0" xfId="1" applyNumberFormat="1" applyFont="1" applyFill="1" applyBorder="1" applyAlignment="1">
      <alignment horizontal="right" indent="1"/>
    </xf>
    <xf numFmtId="37" fontId="20" fillId="0" borderId="1" xfId="1" applyNumberFormat="1" applyFont="1" applyFill="1" applyBorder="1" applyAlignment="1">
      <alignment horizontal="center"/>
    </xf>
    <xf numFmtId="37" fontId="20" fillId="0" borderId="1" xfId="1" applyNumberFormat="1" applyFont="1" applyFill="1" applyBorder="1" applyAlignment="1">
      <alignment horizontal="right" indent="2"/>
    </xf>
    <xf numFmtId="165" fontId="20" fillId="0" borderId="1" xfId="1" applyNumberFormat="1" applyFont="1" applyFill="1" applyBorder="1"/>
    <xf numFmtId="37" fontId="20" fillId="0" borderId="1" xfId="1" applyNumberFormat="1" applyFont="1" applyFill="1" applyBorder="1" applyAlignment="1">
      <alignment horizontal="right" indent="1"/>
    </xf>
    <xf numFmtId="9" fontId="20" fillId="0" borderId="0" xfId="12" applyFont="1" applyFill="1"/>
    <xf numFmtId="1" fontId="20" fillId="0" borderId="0" xfId="0" applyNumberFormat="1" applyFont="1" applyFill="1" applyBorder="1" applyAlignment="1">
      <alignment horizontal="center"/>
    </xf>
    <xf numFmtId="1" fontId="20" fillId="0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1" fillId="0" borderId="4" xfId="0" applyFont="1" applyFill="1" applyBorder="1" applyAlignment="1">
      <alignment horizontal="center"/>
    </xf>
    <xf numFmtId="14" fontId="20" fillId="0" borderId="0" xfId="0" applyNumberFormat="1" applyFont="1" applyFill="1" applyAlignment="1">
      <alignment horizontal="right" inden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3" fontId="0" fillId="0" borderId="0" xfId="0" applyNumberFormat="1" applyFill="1"/>
    <xf numFmtId="169" fontId="20" fillId="0" borderId="0" xfId="1" applyNumberFormat="1" applyFont="1" applyFill="1" applyAlignment="1">
      <alignment horizontal="center"/>
    </xf>
    <xf numFmtId="0" fontId="22" fillId="0" borderId="3" xfId="0" applyFont="1" applyFill="1" applyBorder="1"/>
    <xf numFmtId="164" fontId="20" fillId="0" borderId="3" xfId="0" applyNumberFormat="1" applyFont="1" applyFill="1" applyBorder="1"/>
    <xf numFmtId="43" fontId="20" fillId="0" borderId="1" xfId="1" applyFont="1" applyFill="1" applyBorder="1" applyAlignment="1">
      <alignment horizontal="center"/>
    </xf>
    <xf numFmtId="171" fontId="0" fillId="0" borderId="0" xfId="1" applyNumberFormat="1" applyFont="1" applyFill="1" applyBorder="1"/>
    <xf numFmtId="0" fontId="11" fillId="0" borderId="0" xfId="8" applyFont="1"/>
    <xf numFmtId="0" fontId="11" fillId="0" borderId="0" xfId="8" applyFont="1" applyFill="1"/>
    <xf numFmtId="0" fontId="11" fillId="0" borderId="0" xfId="0" applyFont="1" applyFill="1" applyBorder="1"/>
    <xf numFmtId="0" fontId="11" fillId="0" borderId="0" xfId="0" applyFont="1" applyFill="1"/>
    <xf numFmtId="2" fontId="28" fillId="0" borderId="1" xfId="0" applyNumberFormat="1" applyFont="1" applyFill="1" applyBorder="1" applyAlignment="1">
      <alignment horizontal="right" indent="2"/>
    </xf>
    <xf numFmtId="2" fontId="28" fillId="0" borderId="0" xfId="0" applyNumberFormat="1" applyFont="1" applyFill="1" applyBorder="1" applyAlignment="1">
      <alignment horizontal="right" indent="2"/>
    </xf>
    <xf numFmtId="2" fontId="29" fillId="0" borderId="0" xfId="0" applyNumberFormat="1" applyFont="1" applyFill="1" applyBorder="1" applyAlignment="1">
      <alignment horizontal="right" indent="2"/>
    </xf>
    <xf numFmtId="4" fontId="30" fillId="0" borderId="0" xfId="0" applyNumberFormat="1" applyFont="1"/>
    <xf numFmtId="2" fontId="0" fillId="0" borderId="0" xfId="0" applyNumberFormat="1" applyAlignment="1">
      <alignment horizontal="right"/>
    </xf>
    <xf numFmtId="2" fontId="3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2" fontId="0" fillId="0" borderId="0" xfId="0" applyNumberFormat="1" applyAlignment="1">
      <alignment horizontal="right"/>
    </xf>
    <xf numFmtId="172" fontId="3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73" fontId="15" fillId="0" borderId="0" xfId="12" applyNumberFormat="1" applyFont="1" applyFill="1"/>
    <xf numFmtId="2" fontId="11" fillId="0" borderId="0" xfId="0" applyNumberFormat="1" applyFont="1" applyFill="1" applyAlignment="1">
      <alignment horizontal="right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0" fillId="0" borderId="0" xfId="0" applyFont="1"/>
    <xf numFmtId="4" fontId="0" fillId="0" borderId="0" xfId="0" applyNumberFormat="1"/>
    <xf numFmtId="169" fontId="20" fillId="0" borderId="1" xfId="1" applyNumberFormat="1" applyFont="1" applyBorder="1" applyAlignment="1">
      <alignment horizontal="right" indent="1"/>
    </xf>
    <xf numFmtId="169" fontId="20" fillId="0" borderId="0" xfId="1" applyNumberFormat="1" applyFont="1" applyBorder="1" applyAlignment="1">
      <alignment horizontal="right" indent="1"/>
    </xf>
    <xf numFmtId="4" fontId="20" fillId="0" borderId="0" xfId="0" applyNumberFormat="1" applyFont="1"/>
    <xf numFmtId="0" fontId="11" fillId="0" borderId="0" xfId="20"/>
    <xf numFmtId="17" fontId="20" fillId="0" borderId="0" xfId="20" applyNumberFormat="1" applyFont="1" applyAlignment="1">
      <alignment horizontal="left"/>
    </xf>
    <xf numFmtId="4" fontId="11" fillId="0" borderId="0" xfId="20" applyNumberFormat="1"/>
    <xf numFmtId="41" fontId="11" fillId="0" borderId="0" xfId="20" applyNumberFormat="1"/>
    <xf numFmtId="174" fontId="28" fillId="0" borderId="0" xfId="20" applyNumberFormat="1" applyFont="1"/>
    <xf numFmtId="0" fontId="11" fillId="0" borderId="0" xfId="20" applyAlignment="1">
      <alignment horizontal="center"/>
    </xf>
    <xf numFmtId="17" fontId="11" fillId="0" borderId="0" xfId="20" applyNumberFormat="1" applyAlignment="1">
      <alignment horizontal="left"/>
    </xf>
    <xf numFmtId="0" fontId="32" fillId="0" borderId="1" xfId="34" applyFont="1" applyBorder="1" applyAlignment="1">
      <alignment horizontal="left" wrapText="1"/>
    </xf>
    <xf numFmtId="37" fontId="0" fillId="0" borderId="0" xfId="0" applyNumberFormat="1" applyFill="1"/>
    <xf numFmtId="17" fontId="20" fillId="0" borderId="0" xfId="0" applyNumberFormat="1" applyFont="1"/>
    <xf numFmtId="4" fontId="20" fillId="0" borderId="0" xfId="0" applyNumberFormat="1" applyFont="1" applyBorder="1" applyAlignment="1">
      <alignment wrapText="1"/>
    </xf>
    <xf numFmtId="0" fontId="33" fillId="0" borderId="0" xfId="35" applyFont="1" applyAlignment="1">
      <alignment horizontal="left" wrapText="1"/>
    </xf>
    <xf numFmtId="174" fontId="33" fillId="0" borderId="0" xfId="33" applyNumberFormat="1" applyFont="1" applyFill="1" applyAlignment="1">
      <alignment horizontal="center" vertical="center"/>
    </xf>
    <xf numFmtId="1" fontId="33" fillId="0" borderId="0" xfId="33" applyNumberFormat="1" applyFont="1" applyFill="1" applyAlignment="1">
      <alignment horizontal="right" vertical="center"/>
    </xf>
    <xf numFmtId="17" fontId="11" fillId="0" borderId="0" xfId="20" quotePrefix="1" applyNumberFormat="1" applyAlignment="1">
      <alignment horizontal="left"/>
    </xf>
    <xf numFmtId="0" fontId="11" fillId="0" borderId="0" xfId="20" applyAlignment="1">
      <alignment horizontal="left"/>
    </xf>
    <xf numFmtId="41" fontId="11" fillId="0" borderId="0" xfId="20" applyNumberFormat="1" applyAlignment="1">
      <alignment horizontal="left"/>
    </xf>
    <xf numFmtId="3" fontId="33" fillId="0" borderId="0" xfId="35" applyNumberFormat="1" applyFont="1" applyAlignment="1">
      <alignment horizontal="right"/>
    </xf>
    <xf numFmtId="3" fontId="33" fillId="0" borderId="0" xfId="33" applyNumberFormat="1" applyFont="1" applyFill="1" applyAlignment="1">
      <alignment horizontal="right" vertical="center"/>
    </xf>
    <xf numFmtId="3" fontId="11" fillId="0" borderId="0" xfId="20" applyNumberFormat="1" applyAlignment="1">
      <alignment horizontal="right"/>
    </xf>
    <xf numFmtId="0" fontId="34" fillId="0" borderId="0" xfId="0" applyFont="1"/>
    <xf numFmtId="0" fontId="32" fillId="0" borderId="1" xfId="35" applyFont="1" applyBorder="1" applyAlignment="1">
      <alignment horizontal="left" wrapText="1"/>
    </xf>
    <xf numFmtId="0" fontId="20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2" xfId="0" quotePrefix="1" applyFont="1" applyFill="1" applyBorder="1" applyAlignment="1">
      <alignment horizontal="center"/>
    </xf>
    <xf numFmtId="0" fontId="21" fillId="0" borderId="5" xfId="0" quotePrefix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</cellXfs>
  <cellStyles count="36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5" xfId="28" xr:uid="{70FA35DD-5A4C-4F46-9C0F-4EF98207937B}"/>
    <cellStyle name="Comma 5 2" xfId="31" xr:uid="{1A54A7D5-5C84-48D6-943B-F788A3F8D756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1" xfId="29" xr:uid="{4B9E3B86-F018-48E8-A1B7-B09DE503DA20}"/>
    <cellStyle name="Normal 11 2" xfId="30" xr:uid="{75FDC25E-C28E-497B-82EF-A28CA2584098}"/>
    <cellStyle name="Normal 11 3" xfId="32" xr:uid="{5440E113-77DF-4DAD-9026-4858CCB03DB9}"/>
    <cellStyle name="Normal 11 4" xfId="34" xr:uid="{A40234E1-3048-4174-AD15-1523030C134E}"/>
    <cellStyle name="Normal 11 5" xfId="35" xr:uid="{4DBA6093-DBC1-4A4A-9E14-A119E11ED16A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3" xfId="23" xr:uid="{A94EEB1A-B27E-4B51-9834-B757898F882E}"/>
    <cellStyle name="Normal 9" xfId="25" xr:uid="{AF562AB2-2E7D-4C04-814F-6AC30A92CE3A}"/>
    <cellStyle name="Percent" xfId="12" builtinId="5"/>
  </cellStyles>
  <dxfs count="0"/>
  <tableStyles count="0" defaultTableStyle="TableStyleMedium9" defaultPivotStyle="PivotStyleLight16"/>
  <colors>
    <mruColors>
      <color rgb="FFD99694"/>
      <color rgb="FFFA6400"/>
      <color rgb="FFFB0BCD"/>
      <color rgb="FF0000FF"/>
      <color rgb="FFFFCF01"/>
      <color rgb="FFFFFF00"/>
      <color rgb="FFBE4D4A"/>
      <color rgb="FFB7DEE8"/>
      <color rgb="FF0066FF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 sz="1100"/>
            </a:pPr>
            <a:endParaRPr lang="en-US" sz="1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100"/>
            </a:pPr>
            <a:r>
              <a:rPr lang="en-US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2022/23 soybean production estimates by region</a:t>
            </a:r>
            <a:endParaRPr lang="en-US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8.220552159598252E-3"/>
          <c:y val="9.68819882275538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089402887139104E-2"/>
          <c:y val="0.18020944497322447"/>
          <c:w val="0.89148162729658798"/>
          <c:h val="0.52068010729428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1'!$B$1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F81BD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A-4927-AD8C-F09AA2481E53}"/>
              </c:ext>
            </c:extLst>
          </c:dPt>
          <c:dPt>
            <c:idx val="1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A-4927-AD8C-F09AA2481E53}"/>
              </c:ext>
            </c:extLst>
          </c:dPt>
          <c:dPt>
            <c:idx val="2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A-4927-AD8C-F09AA2481E53}"/>
              </c:ext>
            </c:extLst>
          </c:dPt>
          <c:dPt>
            <c:idx val="3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A-4927-AD8C-F09AA2481E53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A-4927-AD8C-F09AA2481E53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A-4927-AD8C-F09AA2481E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1'!$B$2:$B$7</c:f>
              <c:numCache>
                <c:formatCode>#,##0</c:formatCode>
                <c:ptCount val="6"/>
                <c:pt idx="0">
                  <c:v>326.35000000000002</c:v>
                </c:pt>
                <c:pt idx="1">
                  <c:v>1506.93</c:v>
                </c:pt>
                <c:pt idx="2">
                  <c:v>1254.97</c:v>
                </c:pt>
                <c:pt idx="3">
                  <c:v>540.51</c:v>
                </c:pt>
                <c:pt idx="4">
                  <c:v>397.16</c:v>
                </c:pt>
                <c:pt idx="5">
                  <c:v>409.31200000000001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E9A-4927-AD8C-F09AA2481E53}"/>
            </c:ext>
          </c:extLst>
        </c:ser>
        <c:ser>
          <c:idx val="1"/>
          <c:order val="1"/>
          <c:tx>
            <c:strRef>
              <c:f>'Figure 1'!$C$1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1'!$C$2:$C$7</c:f>
              <c:numCache>
                <c:formatCode>#,##0</c:formatCode>
                <c:ptCount val="6"/>
                <c:pt idx="0">
                  <c:v>351.62</c:v>
                </c:pt>
                <c:pt idx="1">
                  <c:v>1583.66</c:v>
                </c:pt>
                <c:pt idx="2">
                  <c:v>1250.9100000000001</c:v>
                </c:pt>
                <c:pt idx="3">
                  <c:v>503.25</c:v>
                </c:pt>
                <c:pt idx="4">
                  <c:v>427.8</c:v>
                </c:pt>
                <c:pt idx="5">
                  <c:v>413.32100000000003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E9A-4927-AD8C-F09AA2481E53}"/>
            </c:ext>
          </c:extLst>
        </c:ser>
        <c:ser>
          <c:idx val="2"/>
          <c:order val="2"/>
          <c:tx>
            <c:strRef>
              <c:f>'Figure 1'!$D$1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1'!$A$2:$A$7</c:f>
              <c:strCache>
                <c:ptCount val="6"/>
                <c:pt idx="0">
                  <c:v>Delta</c:v>
                </c:pt>
                <c:pt idx="1">
                  <c:v>East Corn Belt</c:v>
                </c:pt>
                <c:pt idx="2">
                  <c:v>West Corn Belt</c:v>
                </c:pt>
                <c:pt idx="3">
                  <c:v>Central Plains</c:v>
                </c:pt>
                <c:pt idx="4">
                  <c:v>Northern Plains</c:v>
                </c:pt>
                <c:pt idx="5">
                  <c:v>Others</c:v>
                </c:pt>
              </c:strCache>
            </c:strRef>
          </c:cat>
          <c:val>
            <c:numRef>
              <c:f>'Figure 1'!$D$2:$D$7</c:f>
              <c:numCache>
                <c:formatCode>#,##0</c:formatCode>
                <c:ptCount val="6"/>
                <c:pt idx="0">
                  <c:v>350.63</c:v>
                </c:pt>
                <c:pt idx="1">
                  <c:v>1536.78</c:v>
                </c:pt>
                <c:pt idx="2">
                  <c:v>1244.53</c:v>
                </c:pt>
                <c:pt idx="3">
                  <c:v>456.4</c:v>
                </c:pt>
                <c:pt idx="4">
                  <c:v>399.15</c:v>
                </c:pt>
                <c:pt idx="5">
                  <c:v>390.70400000000001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A8E-4740-9FCC-2D6F46E9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21751648"/>
        <c:axId val="1821751232"/>
      </c:barChart>
      <c:catAx>
        <c:axId val="18217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232"/>
        <c:crosses val="autoZero"/>
        <c:auto val="1"/>
        <c:lblAlgn val="ctr"/>
        <c:lblOffset val="100"/>
        <c:noMultiLvlLbl val="0"/>
      </c:catAx>
      <c:valAx>
        <c:axId val="1821751232"/>
        <c:scaling>
          <c:orientation val="minMax"/>
          <c:max val="16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217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36832775590551176"/>
          <c:y val="9.3740109232669441E-2"/>
          <c:w val="0.32926443569553804"/>
          <c:h val="4.8864974139262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2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oil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consumed for production of biofuels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141467771342069E-2"/>
          <c:y val="0.16972665429158801"/>
          <c:w val="0.8842046262861567"/>
          <c:h val="0.51219061839090374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2'!$B$1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Jul.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2'!$B$2:$B$13</c:f>
              <c:numCache>
                <c:formatCode>#,##0.00</c:formatCode>
                <c:ptCount val="12"/>
                <c:pt idx="0">
                  <c:v>765.54666666666662</c:v>
                </c:pt>
                <c:pt idx="1">
                  <c:v>770.45666666666659</c:v>
                </c:pt>
                <c:pt idx="2">
                  <c:v>834.42666666666662</c:v>
                </c:pt>
                <c:pt idx="3">
                  <c:v>689.47666666666657</c:v>
                </c:pt>
                <c:pt idx="4">
                  <c:v>626.23666666666668</c:v>
                </c:pt>
                <c:pt idx="5">
                  <c:v>683.67666666666662</c:v>
                </c:pt>
                <c:pt idx="6">
                  <c:v>698.50666666666666</c:v>
                </c:pt>
                <c:pt idx="7">
                  <c:v>725.71666666666658</c:v>
                </c:pt>
                <c:pt idx="8">
                  <c:v>660.81666666666661</c:v>
                </c:pt>
                <c:pt idx="9">
                  <c:v>775.16666666666663</c:v>
                </c:pt>
                <c:pt idx="10">
                  <c:v>767.80666666666662</c:v>
                </c:pt>
                <c:pt idx="11">
                  <c:v>665.46666666666658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9-4BDF-B022-298EFC4F75E1}"/>
            </c:ext>
          </c:extLst>
        </c:ser>
        <c:ser>
          <c:idx val="3"/>
          <c:order val="1"/>
          <c:tx>
            <c:strRef>
              <c:f>'Figure 2'!$C$1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Jul.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2'!$C$2:$C$13</c:f>
              <c:numCache>
                <c:formatCode>#,##0.00</c:formatCode>
                <c:ptCount val="12"/>
                <c:pt idx="0">
                  <c:v>624.18666666666661</c:v>
                </c:pt>
                <c:pt idx="1">
                  <c:v>593.1966666666666</c:v>
                </c:pt>
                <c:pt idx="2">
                  <c:v>607.71666666666658</c:v>
                </c:pt>
                <c:pt idx="3">
                  <c:v>587.66666666666663</c:v>
                </c:pt>
                <c:pt idx="4">
                  <c:v>641.4466666666666</c:v>
                </c:pt>
                <c:pt idx="5">
                  <c:v>722.68666666666661</c:v>
                </c:pt>
                <c:pt idx="6">
                  <c:v>738.47666666666657</c:v>
                </c:pt>
                <c:pt idx="7">
                  <c:v>872.01666666666665</c:v>
                </c:pt>
                <c:pt idx="8">
                  <c:v>813.73666666666668</c:v>
                </c:pt>
                <c:pt idx="9">
                  <c:v>841.49666666666667</c:v>
                </c:pt>
                <c:pt idx="10">
                  <c:v>811.99666666666667</c:v>
                </c:pt>
                <c:pt idx="11">
                  <c:v>803.1966666666666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9-4BDF-B022-298EFC4F75E1}"/>
            </c:ext>
          </c:extLst>
        </c:ser>
        <c:ser>
          <c:idx val="0"/>
          <c:order val="2"/>
          <c:tx>
            <c:strRef>
              <c:f>'Figure 2'!$D$1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Jul.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2'!$D$2:$D$13</c:f>
              <c:numCache>
                <c:formatCode>#,##0.00</c:formatCode>
                <c:ptCount val="12"/>
                <c:pt idx="0">
                  <c:v>793.16669999999999</c:v>
                </c:pt>
                <c:pt idx="1">
                  <c:v>753.16669999999999</c:v>
                </c:pt>
                <c:pt idx="2">
                  <c:v>814.16669999999999</c:v>
                </c:pt>
                <c:pt idx="3">
                  <c:v>682.77</c:v>
                </c:pt>
                <c:pt idx="4">
                  <c:v>552.50900000000001</c:v>
                </c:pt>
                <c:pt idx="5">
                  <c:v>748.81299999999999</c:v>
                </c:pt>
                <c:pt idx="6">
                  <c:v>699.93299999999999</c:v>
                </c:pt>
                <c:pt idx="7">
                  <c:v>785.91399999999999</c:v>
                </c:pt>
                <c:pt idx="8">
                  <c:v>679.98199999999997</c:v>
                </c:pt>
                <c:pt idx="9">
                  <c:v>807.96799999999996</c:v>
                </c:pt>
                <c:pt idx="10">
                  <c:v>822.94799999999998</c:v>
                </c:pt>
                <c:pt idx="11">
                  <c:v>779.125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F9-4BDF-B022-298EFC4F75E1}"/>
            </c:ext>
          </c:extLst>
        </c:ser>
        <c:ser>
          <c:idx val="1"/>
          <c:order val="3"/>
          <c:tx>
            <c:strRef>
              <c:f>'Figure 2'!$E$1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Jul.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2'!$E$2:$E$13</c:f>
              <c:numCache>
                <c:formatCode>#,##0.00</c:formatCode>
                <c:ptCount val="12"/>
                <c:pt idx="0">
                  <c:v>832.42700000000002</c:v>
                </c:pt>
                <c:pt idx="1">
                  <c:v>818.01271279999992</c:v>
                </c:pt>
                <c:pt idx="2">
                  <c:v>938.34100000000001</c:v>
                </c:pt>
                <c:pt idx="3">
                  <c:v>791.38699999999994</c:v>
                </c:pt>
                <c:pt idx="4">
                  <c:v>740.60299999999995</c:v>
                </c:pt>
                <c:pt idx="5">
                  <c:v>908.29</c:v>
                </c:pt>
                <c:pt idx="6">
                  <c:v>838.9</c:v>
                </c:pt>
                <c:pt idx="7">
                  <c:v>855.57100000000003</c:v>
                </c:pt>
                <c:pt idx="8">
                  <c:v>809.79899999999998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F9-4BDF-B022-298EFC4F7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455439"/>
        <c:axId val="1284457935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42974890138150257"/>
              <c:y val="0.77312890019967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  <c:min val="5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pounds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3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Soybean and canola meal prices</a:t>
            </a: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141467771342069E-2"/>
          <c:y val="0.16972665429158801"/>
          <c:w val="0.8842046262861567"/>
          <c:h val="0.56757176186310043"/>
        </c:manualLayout>
      </c:layout>
      <c:lineChart>
        <c:grouping val="standard"/>
        <c:varyColors val="0"/>
        <c:ser>
          <c:idx val="2"/>
          <c:order val="0"/>
          <c:tx>
            <c:strRef>
              <c:f>'Figure 3'!$B$1</c:f>
              <c:strCache>
                <c:ptCount val="1"/>
                <c:pt idx="0">
                  <c:v>Soybean meal, high-protein, Decatur, IL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'Figure 3'!$A$2:$A$24</c:f>
              <c:numCache>
                <c:formatCode>mmm\-yy</c:formatCode>
                <c:ptCount val="2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</c:numCache>
            </c:numRef>
          </c:cat>
          <c:val>
            <c:numRef>
              <c:f>'Figure 3'!$B$2:$B$24</c:f>
              <c:numCache>
                <c:formatCode>#,##0.00</c:formatCode>
                <c:ptCount val="23"/>
                <c:pt idx="0">
                  <c:v>367.11</c:v>
                </c:pt>
                <c:pt idx="1">
                  <c:v>387.83</c:v>
                </c:pt>
                <c:pt idx="2">
                  <c:v>396.68</c:v>
                </c:pt>
                <c:pt idx="3">
                  <c:v>439.24</c:v>
                </c:pt>
                <c:pt idx="4">
                  <c:v>427.28</c:v>
                </c:pt>
                <c:pt idx="5">
                  <c:v>410.02</c:v>
                </c:pt>
                <c:pt idx="6">
                  <c:v>413.36</c:v>
                </c:pt>
                <c:pt idx="7">
                  <c:v>421.03</c:v>
                </c:pt>
                <c:pt idx="8">
                  <c:v>378.18</c:v>
                </c:pt>
                <c:pt idx="9">
                  <c:v>365.23</c:v>
                </c:pt>
                <c:pt idx="10">
                  <c:v>358.21</c:v>
                </c:pt>
                <c:pt idx="11">
                  <c:v>343.55</c:v>
                </c:pt>
                <c:pt idx="12">
                  <c:v>325.43</c:v>
                </c:pt>
                <c:pt idx="13">
                  <c:v>358.73</c:v>
                </c:pt>
                <c:pt idx="14">
                  <c:v>399.53</c:v>
                </c:pt>
                <c:pt idx="15">
                  <c:v>421.21</c:v>
                </c:pt>
                <c:pt idx="16">
                  <c:v>460.45</c:v>
                </c:pt>
                <c:pt idx="17">
                  <c:v>493.97500000000002</c:v>
                </c:pt>
                <c:pt idx="18">
                  <c:v>475.35999999999996</c:v>
                </c:pt>
                <c:pt idx="19">
                  <c:v>441.27499999999998</c:v>
                </c:pt>
                <c:pt idx="20">
                  <c:v>445.92499999999995</c:v>
                </c:pt>
                <c:pt idx="21">
                  <c:v>467.87</c:v>
                </c:pt>
                <c:pt idx="22">
                  <c:v>510.90000000000009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1-45C3-8E20-6B456D159083}"/>
            </c:ext>
          </c:extLst>
        </c:ser>
        <c:ser>
          <c:idx val="3"/>
          <c:order val="1"/>
          <c:tx>
            <c:strRef>
              <c:f>'Figure 3'!$C$1</c:f>
              <c:strCache>
                <c:ptCount val="1"/>
                <c:pt idx="0">
                  <c:v>Canola meal, 34-percent North Dakota-Minnesota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3'!$A$2:$A$24</c:f>
              <c:numCache>
                <c:formatCode>mmm\-yy</c:formatCode>
                <c:ptCount val="2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  <c:pt idx="3">
                  <c:v>44197</c:v>
                </c:pt>
                <c:pt idx="4">
                  <c:v>44228</c:v>
                </c:pt>
                <c:pt idx="5">
                  <c:v>44256</c:v>
                </c:pt>
                <c:pt idx="6">
                  <c:v>44287</c:v>
                </c:pt>
                <c:pt idx="7">
                  <c:v>44317</c:v>
                </c:pt>
                <c:pt idx="8">
                  <c:v>44348</c:v>
                </c:pt>
                <c:pt idx="9">
                  <c:v>44378</c:v>
                </c:pt>
                <c:pt idx="10">
                  <c:v>44409</c:v>
                </c:pt>
                <c:pt idx="11">
                  <c:v>44440</c:v>
                </c:pt>
                <c:pt idx="12">
                  <c:v>44470</c:v>
                </c:pt>
                <c:pt idx="13">
                  <c:v>44501</c:v>
                </c:pt>
                <c:pt idx="14">
                  <c:v>44531</c:v>
                </c:pt>
                <c:pt idx="15">
                  <c:v>44562</c:v>
                </c:pt>
                <c:pt idx="16">
                  <c:v>44593</c:v>
                </c:pt>
                <c:pt idx="17">
                  <c:v>44621</c:v>
                </c:pt>
                <c:pt idx="18">
                  <c:v>44652</c:v>
                </c:pt>
                <c:pt idx="19">
                  <c:v>44682</c:v>
                </c:pt>
                <c:pt idx="20">
                  <c:v>44713</c:v>
                </c:pt>
                <c:pt idx="21">
                  <c:v>44743</c:v>
                </c:pt>
                <c:pt idx="22">
                  <c:v>44774</c:v>
                </c:pt>
              </c:numCache>
            </c:numRef>
          </c:cat>
          <c:val>
            <c:numRef>
              <c:f>'Figure 3'!$C$2:$C$24</c:f>
              <c:numCache>
                <c:formatCode>#,##0.00</c:formatCode>
                <c:ptCount val="23"/>
                <c:pt idx="0">
                  <c:v>327.24</c:v>
                </c:pt>
                <c:pt idx="1">
                  <c:v>333.89</c:v>
                </c:pt>
                <c:pt idx="2">
                  <c:v>338.55</c:v>
                </c:pt>
                <c:pt idx="3">
                  <c:v>387.53</c:v>
                </c:pt>
                <c:pt idx="4">
                  <c:v>376.07499999999999</c:v>
                </c:pt>
                <c:pt idx="5">
                  <c:v>365.14</c:v>
                </c:pt>
                <c:pt idx="6">
                  <c:v>377.57499999999999</c:v>
                </c:pt>
                <c:pt idx="7">
                  <c:v>391.45</c:v>
                </c:pt>
                <c:pt idx="8">
                  <c:v>345.9</c:v>
                </c:pt>
                <c:pt idx="9">
                  <c:v>326.67499999999995</c:v>
                </c:pt>
                <c:pt idx="10">
                  <c:v>329.45</c:v>
                </c:pt>
                <c:pt idx="11">
                  <c:v>322.96249999999998</c:v>
                </c:pt>
                <c:pt idx="12">
                  <c:v>322.82499999999999</c:v>
                </c:pt>
                <c:pt idx="13">
                  <c:v>350.21999999999997</c:v>
                </c:pt>
                <c:pt idx="14">
                  <c:v>382.9666666666667</c:v>
                </c:pt>
                <c:pt idx="15">
                  <c:v>410.875</c:v>
                </c:pt>
                <c:pt idx="16">
                  <c:v>454.625</c:v>
                </c:pt>
                <c:pt idx="17">
                  <c:v>487.03750000000002</c:v>
                </c:pt>
                <c:pt idx="18">
                  <c:v>470.77999999999992</c:v>
                </c:pt>
                <c:pt idx="19">
                  <c:v>454.5</c:v>
                </c:pt>
                <c:pt idx="20">
                  <c:v>478.17499999999995</c:v>
                </c:pt>
                <c:pt idx="21">
                  <c:v>501.17999999999995</c:v>
                </c:pt>
                <c:pt idx="22">
                  <c:v>521.52500000000009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1-45C3-8E20-6B456D15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455439"/>
        <c:axId val="1284457935"/>
      </c:lineChart>
      <c:date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43393305439330543"/>
              <c:y val="0.83916278971323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Offset val="100"/>
        <c:baseTimeUnit val="months"/>
      </c:dateAx>
      <c:valAx>
        <c:axId val="1284457935"/>
        <c:scaling>
          <c:orientation val="minMax"/>
          <c:max val="550"/>
          <c:min val="3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Dollars per short ton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4184100418410042E-2"/>
          <c:y val="0.16132804468507983"/>
          <c:w val="0.9"/>
          <c:h val="5.1038462468806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Rapeseed producion by major producing countries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7569127647636391E-3"/>
          <c:y val="2.102925423242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42903290934788E-2"/>
          <c:y val="0.18959761136537892"/>
          <c:w val="0.89877209810761671"/>
          <c:h val="0.493769086441462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'Figure 4'!$D$1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4'!$A$2:$A$8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Aug. 2022/23*</c:v>
                </c:pt>
                <c:pt idx="6">
                  <c:v>Sep. 2022/23*</c:v>
                </c:pt>
              </c:strCache>
            </c:strRef>
          </c:cat>
          <c:val>
            <c:numRef>
              <c:f>'Figure 4'!$D$2:$D$8</c:f>
              <c:numCache>
                <c:formatCode>#,##0.00</c:formatCode>
                <c:ptCount val="7"/>
                <c:pt idx="0">
                  <c:v>20.016999999999999</c:v>
                </c:pt>
                <c:pt idx="1">
                  <c:v>18.047999999999998</c:v>
                </c:pt>
                <c:pt idx="2">
                  <c:v>15.252000000000001</c:v>
                </c:pt>
                <c:pt idx="3">
                  <c:v>16.731999999999999</c:v>
                </c:pt>
                <c:pt idx="4">
                  <c:v>17.195</c:v>
                </c:pt>
                <c:pt idx="5">
                  <c:v>17.95</c:v>
                </c:pt>
                <c:pt idx="6">
                  <c:v>18.149999999999999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9-4FA3-999A-70759054B364}"/>
            </c:ext>
          </c:extLst>
        </c:ser>
        <c:ser>
          <c:idx val="5"/>
          <c:order val="2"/>
          <c:tx>
            <c:strRef>
              <c:f>'Figure 4'!$C$1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9.7933341600153784E-18"/>
                  <c:y val="-2.61665962280440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47-42A6-BDBA-AFE68C650218}"/>
                </c:ext>
              </c:extLst>
            </c:dLbl>
            <c:dLbl>
              <c:idx val="3"/>
              <c:layout>
                <c:manualLayout>
                  <c:x val="0"/>
                  <c:y val="2.61665962280438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7-42A6-BDBA-AFE68C650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4'!$A$2:$A$8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Aug. 2022/23*</c:v>
                </c:pt>
                <c:pt idx="6">
                  <c:v>Sep. 2022/23*</c:v>
                </c:pt>
              </c:strCache>
            </c:strRef>
          </c:cat>
          <c:val>
            <c:numRef>
              <c:f>'Figure 4'!$C$2:$C$8</c:f>
              <c:numCache>
                <c:formatCode>#,##0.00</c:formatCode>
                <c:ptCount val="7"/>
                <c:pt idx="0">
                  <c:v>21.457999999999998</c:v>
                </c:pt>
                <c:pt idx="1">
                  <c:v>20.724</c:v>
                </c:pt>
                <c:pt idx="2">
                  <c:v>19.911999999999999</c:v>
                </c:pt>
                <c:pt idx="3">
                  <c:v>19.484999999999999</c:v>
                </c:pt>
                <c:pt idx="4">
                  <c:v>13.757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29-4FA3-999A-70759054B364}"/>
            </c:ext>
          </c:extLst>
        </c:ser>
        <c:ser>
          <c:idx val="4"/>
          <c:order val="3"/>
          <c:tx>
            <c:strRef>
              <c:f>'Figure 4'!$B$1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4'!$A$2:$A$8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Aug. 2022/23*</c:v>
                </c:pt>
                <c:pt idx="6">
                  <c:v>Sep. 2022/23*</c:v>
                </c:pt>
              </c:strCache>
            </c:strRef>
          </c:cat>
          <c:val>
            <c:numRef>
              <c:f>'Figure 4'!$B$2:$B$8</c:f>
              <c:numCache>
                <c:formatCode>#,##0.00</c:formatCode>
                <c:ptCount val="7"/>
                <c:pt idx="0">
                  <c:v>3.8929999999999998</c:v>
                </c:pt>
                <c:pt idx="1">
                  <c:v>2.3660000000000001</c:v>
                </c:pt>
                <c:pt idx="2">
                  <c:v>2.2989999999999999</c:v>
                </c:pt>
                <c:pt idx="3">
                  <c:v>4.7560000000000002</c:v>
                </c:pt>
                <c:pt idx="4">
                  <c:v>6.7619999999999996</c:v>
                </c:pt>
                <c:pt idx="5">
                  <c:v>6.1</c:v>
                </c:pt>
                <c:pt idx="6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29-4FA3-999A-70759054B3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6"/>
          <c:order val="0"/>
          <c:tx>
            <c:strRef>
              <c:f>'Figure 4'!$E$1</c:f>
              <c:strCache>
                <c:ptCount val="1"/>
                <c:pt idx="0">
                  <c:v>World total</c:v>
                </c:pt>
              </c:strCache>
            </c:strRef>
          </c:tx>
          <c:spPr>
            <a:ln w="571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'Figure 4'!$A$2:$A$8</c:f>
              <c:strCache>
                <c:ptCount val="7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Aug. 2022/23*</c:v>
                </c:pt>
                <c:pt idx="6">
                  <c:v>Sep. 2022/23*</c:v>
                </c:pt>
              </c:strCache>
            </c:strRef>
          </c:cat>
          <c:val>
            <c:numRef>
              <c:f>'Figure 4'!$E$2:$E$8</c:f>
              <c:numCache>
                <c:formatCode>#,##0.00</c:formatCode>
                <c:ptCount val="7"/>
                <c:pt idx="0">
                  <c:v>75.287000000000006</c:v>
                </c:pt>
                <c:pt idx="1">
                  <c:v>72.885999999999996</c:v>
                </c:pt>
                <c:pt idx="2">
                  <c:v>69.635000000000005</c:v>
                </c:pt>
                <c:pt idx="3">
                  <c:v>73.850999999999999</c:v>
                </c:pt>
                <c:pt idx="4">
                  <c:v>73.835999999999999</c:v>
                </c:pt>
                <c:pt idx="5">
                  <c:v>82.48</c:v>
                </c:pt>
                <c:pt idx="6">
                  <c:v>83.144000000000005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9-4FA3-999A-70759054B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31072"/>
        <c:axId val="191386048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42177353"/>
              <c:y val="0.84102794442361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Global production, million metric tons</a:t>
                </a:r>
              </a:p>
            </c:rich>
          </c:tx>
          <c:layout>
            <c:manualLayout>
              <c:xMode val="edge"/>
              <c:yMode val="edge"/>
              <c:x val="0.83111111111111113"/>
              <c:y val="8.61999020955713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913860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</a:rPr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2.1153846153846162E-3"/>
              <c:y val="0.10327276798733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431072"/>
        <c:crosses val="max"/>
        <c:crossBetween val="between"/>
      </c:valAx>
      <c:catAx>
        <c:axId val="19243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386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328706507840368"/>
          <c:y val="0.12292551972670084"/>
          <c:w val="0.7359558070915635"/>
          <c:h val="0.10052597591967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114300</xdr:rowOff>
    </xdr:from>
    <xdr:to>
      <xdr:col>14</xdr:col>
      <xdr:colOff>381000</xdr:colOff>
      <xdr:row>24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E69F35-273D-49CE-9148-07E29FE14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0.00254</cdr:x>
      <cdr:y>0.77376</cdr:y>
    </cdr:from>
    <cdr:to>
      <cdr:x>0.99393</cdr:x>
      <cdr:y>0.99321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8F93A74A-6ABF-4BFB-9669-1E205E5DACBB}"/>
            </a:ext>
          </a:extLst>
        </cdr:cNvPr>
        <cdr:cNvSpPr/>
      </cdr:nvSpPr>
      <cdr:spPr>
        <a:xfrm xmlns:a="http://schemas.openxmlformats.org/drawingml/2006/main">
          <a:off x="13365" y="2606039"/>
          <a:ext cx="5216508" cy="739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Notes: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Delta = Arkansas, Louisiana, and Mississippi; Eastern Corn Belt = Illinois, Indiana, Ohio, Michigan, and Wisconsin; Western Corn Belt = Iowa, Minnesota, and Missouri; and Central Plains = Kansas and Nebraska; and Northern Plains = North Dakota and South Dakota. </a:t>
          </a:r>
        </a:p>
        <a:p xmlns:a="http://schemas.openxmlformats.org/drawingml/2006/main"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National</a:t>
          </a:r>
          <a:r>
            <a:rPr lang="en-US" sz="9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Statistics, Service Quick Stats </a:t>
          </a:r>
          <a:r>
            <a:rPr lang="en-US" sz="90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solidFill>
              <a:schemeClr val="tx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0.01448</cdr:x>
      <cdr:y>0.10576</cdr:y>
    </cdr:from>
    <cdr:to>
      <cdr:x>0.16654</cdr:x>
      <cdr:y>0.15253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F2DE771-20AE-430C-AADC-FDC5E004D32C}"/>
            </a:ext>
          </a:extLst>
        </cdr:cNvPr>
        <cdr:cNvSpPr/>
      </cdr:nvSpPr>
      <cdr:spPr bwMode="auto">
        <a:xfrm xmlns:a="http://schemas.openxmlformats.org/drawingml/2006/main">
          <a:off x="79002" y="361440"/>
          <a:ext cx="829627" cy="159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Million bushels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158751</xdr:rowOff>
    </xdr:from>
    <xdr:to>
      <xdr:col>15</xdr:col>
      <xdr:colOff>281517</xdr:colOff>
      <xdr:row>20</xdr:row>
      <xdr:rowOff>146898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B21F52F-F99C-47C6-9444-CFF036C9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0.81133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2952751"/>
          <a:ext cx="5943601" cy="686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The United States Energy Information Adminstration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did not include renewable diesel in their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Feedstocks consumed for production of biofuels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estimate until January 2021.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United States Energy Information Administration,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Feedstocks consumed for production of biofuels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August 31, 2022.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222251</xdr:colOff>
      <xdr:row>0</xdr:row>
      <xdr:rowOff>289981</xdr:rowOff>
    </xdr:from>
    <xdr:to>
      <xdr:col>15</xdr:col>
      <xdr:colOff>27518</xdr:colOff>
      <xdr:row>22</xdr:row>
      <xdr:rowOff>93133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16FB0FC-BAD4-465D-BCE5-01FD80A0C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0.8848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511552"/>
          <a:ext cx="60706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Agricultural Marketing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 Grain and Oilseed Processor Feedstuff Report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284694</xdr:colOff>
      <xdr:row>0</xdr:row>
      <xdr:rowOff>114299</xdr:rowOff>
    </xdr:from>
    <xdr:to>
      <xdr:col>15</xdr:col>
      <xdr:colOff>89960</xdr:colOff>
      <xdr:row>20</xdr:row>
      <xdr:rowOff>134196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471D4B-9F66-4A9E-950A-C02C8C304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0.88462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943349"/>
          <a:ext cx="6037791" cy="487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Oilseed, other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includes copra, cottonseed, palm kernel and peanut.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September 2022.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workbookViewId="0"/>
  </sheetViews>
  <sheetFormatPr defaultColWidth="9.7109375" defaultRowHeight="13.9"/>
  <cols>
    <col min="1" max="1" width="166.85546875" style="13" customWidth="1"/>
    <col min="2" max="16384" width="9.7109375" style="1"/>
  </cols>
  <sheetData>
    <row r="1" spans="1:3">
      <c r="A1" s="8" t="s">
        <v>0</v>
      </c>
      <c r="B1" s="121"/>
      <c r="C1" s="121"/>
    </row>
    <row r="2" spans="1:3" s="2" customFormat="1">
      <c r="A2" s="9"/>
    </row>
    <row r="3" spans="1:3">
      <c r="A3" s="11" t="s">
        <v>1</v>
      </c>
      <c r="B3" s="3"/>
      <c r="C3" s="2"/>
    </row>
    <row r="4" spans="1:3">
      <c r="A4" s="11" t="s">
        <v>2</v>
      </c>
      <c r="B4" s="4"/>
      <c r="C4" s="121"/>
    </row>
    <row r="5" spans="1:3">
      <c r="A5" s="11" t="s">
        <v>3</v>
      </c>
      <c r="B5" s="4"/>
      <c r="C5" s="121"/>
    </row>
    <row r="6" spans="1:3">
      <c r="A6" s="11" t="s">
        <v>4</v>
      </c>
      <c r="B6" s="4"/>
      <c r="C6" s="121"/>
    </row>
    <row r="7" spans="1:3">
      <c r="A7" s="11" t="s">
        <v>5</v>
      </c>
      <c r="B7" s="4"/>
      <c r="C7" s="121"/>
    </row>
    <row r="8" spans="1:3">
      <c r="A8" s="11" t="s">
        <v>6</v>
      </c>
      <c r="B8" s="4"/>
      <c r="C8" s="121"/>
    </row>
    <row r="9" spans="1:3">
      <c r="A9" s="11" t="s">
        <v>7</v>
      </c>
      <c r="B9" s="4"/>
      <c r="C9" s="121"/>
    </row>
    <row r="10" spans="1:3">
      <c r="A10" s="11" t="s">
        <v>8</v>
      </c>
      <c r="B10" s="4"/>
      <c r="C10" s="121"/>
    </row>
    <row r="11" spans="1:3">
      <c r="A11" s="11" t="s">
        <v>9</v>
      </c>
      <c r="B11" s="4"/>
      <c r="C11" s="121"/>
    </row>
    <row r="12" spans="1:3">
      <c r="A12" s="11" t="s">
        <v>10</v>
      </c>
      <c r="B12" s="4"/>
      <c r="C12" s="121"/>
    </row>
    <row r="13" spans="1:3">
      <c r="A13" s="12" t="s">
        <v>11</v>
      </c>
      <c r="B13" s="4"/>
      <c r="C13" s="121"/>
    </row>
    <row r="14" spans="1:3" ht="13.15">
      <c r="A14" s="121"/>
      <c r="B14" s="121"/>
      <c r="C14" s="121"/>
    </row>
    <row r="15" spans="1:3">
      <c r="A15" s="8" t="s">
        <v>12</v>
      </c>
      <c r="B15" s="122"/>
      <c r="C15" s="121"/>
    </row>
    <row r="16" spans="1:3">
      <c r="A16" s="10">
        <f ca="1">TODAY()</f>
        <v>44818</v>
      </c>
      <c r="B16" s="121"/>
      <c r="C16" s="121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4"/>
  <sheetViews>
    <sheetView showGridLines="0" topLeftCell="A22" zoomScale="70" zoomScaleNormal="70" workbookViewId="0"/>
  </sheetViews>
  <sheetFormatPr defaultColWidth="9.140625" defaultRowHeight="13.15"/>
  <cols>
    <col min="1" max="1" width="21.7109375" style="18" customWidth="1"/>
    <col min="2" max="2" width="14.140625" style="18" bestFit="1" customWidth="1"/>
    <col min="3" max="3" width="9.5703125" style="18" customWidth="1"/>
    <col min="4" max="4" width="26.7109375" style="18" customWidth="1"/>
    <col min="5" max="5" width="9.7109375" style="18" customWidth="1"/>
    <col min="6" max="6" width="10.7109375" style="18" customWidth="1"/>
    <col min="7" max="7" width="8.7109375" style="18" bestFit="1" customWidth="1"/>
    <col min="8" max="8" width="9.7109375" style="18" customWidth="1"/>
    <col min="9" max="9" width="1.7109375" style="18" customWidth="1"/>
    <col min="10" max="10" width="9.7109375" style="18" customWidth="1"/>
    <col min="11" max="12" width="10.7109375" style="18" customWidth="1"/>
    <col min="13" max="13" width="10.28515625" style="18" customWidth="1"/>
    <col min="14" max="14" width="9.7109375" style="18" customWidth="1"/>
    <col min="15" max="16" width="9.140625" style="18"/>
    <col min="17" max="17" width="15.42578125" style="18" bestFit="1" customWidth="1"/>
    <col min="18" max="18" width="10.140625" style="18" bestFit="1" customWidth="1"/>
    <col min="19" max="16384" width="9.140625" style="18"/>
  </cols>
  <sheetData>
    <row r="1" spans="1:23" ht="13.9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23" ht="13.9">
      <c r="A2" s="19"/>
      <c r="B2" s="20" t="s">
        <v>13</v>
      </c>
      <c r="C2" s="167"/>
      <c r="D2" s="21" t="s">
        <v>14</v>
      </c>
      <c r="E2" s="22"/>
      <c r="F2" s="167" t="s">
        <v>15</v>
      </c>
      <c r="G2" s="167"/>
      <c r="H2" s="167"/>
      <c r="I2" s="23"/>
      <c r="J2" s="22"/>
      <c r="K2" s="167"/>
      <c r="L2" s="24" t="s">
        <v>16</v>
      </c>
      <c r="M2" s="167"/>
      <c r="N2" s="19"/>
    </row>
    <row r="3" spans="1:23" ht="13.9">
      <c r="A3" s="19" t="s">
        <v>17</v>
      </c>
      <c r="B3" s="21" t="s">
        <v>18</v>
      </c>
      <c r="C3" s="19" t="s">
        <v>19</v>
      </c>
      <c r="D3" s="21"/>
      <c r="E3" s="25" t="s">
        <v>20</v>
      </c>
      <c r="F3" s="25"/>
      <c r="G3" s="25"/>
      <c r="H3" s="25"/>
      <c r="I3" s="25"/>
      <c r="J3" s="21" t="s">
        <v>21</v>
      </c>
      <c r="K3" s="25" t="s">
        <v>22</v>
      </c>
      <c r="L3" s="25"/>
      <c r="M3" s="25"/>
      <c r="N3" s="25" t="s">
        <v>23</v>
      </c>
    </row>
    <row r="4" spans="1:23" ht="13.9">
      <c r="A4" s="26" t="s">
        <v>24</v>
      </c>
      <c r="B4" s="27"/>
      <c r="C4" s="27"/>
      <c r="D4" s="27"/>
      <c r="E4" s="28" t="s">
        <v>25</v>
      </c>
      <c r="F4" s="28" t="s">
        <v>26</v>
      </c>
      <c r="G4" s="29" t="s">
        <v>27</v>
      </c>
      <c r="H4" s="30" t="s">
        <v>28</v>
      </c>
      <c r="I4" s="29"/>
      <c r="J4" s="29"/>
      <c r="K4" s="29" t="s">
        <v>29</v>
      </c>
      <c r="L4" s="30" t="s">
        <v>30</v>
      </c>
      <c r="M4" s="28" t="s">
        <v>28</v>
      </c>
      <c r="N4" s="29" t="s">
        <v>25</v>
      </c>
      <c r="W4" s="31"/>
    </row>
    <row r="5" spans="1:23" ht="14.45">
      <c r="A5" s="19"/>
      <c r="B5" s="32" t="s">
        <v>31</v>
      </c>
      <c r="C5" s="168"/>
      <c r="D5" s="33" t="s">
        <v>32</v>
      </c>
      <c r="G5" s="32"/>
      <c r="I5" s="32"/>
      <c r="J5" s="32" t="s">
        <v>33</v>
      </c>
      <c r="K5" s="32"/>
      <c r="L5" s="32"/>
      <c r="M5" s="32"/>
      <c r="N5" s="32"/>
      <c r="W5" s="31"/>
    </row>
    <row r="6" spans="1:23" ht="16.5" customHeight="1">
      <c r="A6" s="19" t="s">
        <v>34</v>
      </c>
      <c r="B6" s="34">
        <v>83.353999999999999</v>
      </c>
      <c r="C6" s="34">
        <v>82.602999999999994</v>
      </c>
      <c r="D6" s="34">
        <f>F6/C6</f>
        <v>51.042964541239421</v>
      </c>
      <c r="E6" s="35">
        <f>E14</f>
        <v>524.54100000000005</v>
      </c>
      <c r="F6" s="36">
        <v>4216.3019999999997</v>
      </c>
      <c r="G6" s="37">
        <f>G27</f>
        <v>19.815142646399998</v>
      </c>
      <c r="H6" s="37">
        <f>SUM(E6:G6)</f>
        <v>4760.6581426463999</v>
      </c>
      <c r="I6" s="19"/>
      <c r="J6" s="36">
        <f>J27</f>
        <v>2140.6021535309255</v>
      </c>
      <c r="K6" s="36">
        <f t="shared" ref="K6:K8" si="0">M6-L6-J6</f>
        <v>97.255326339474323</v>
      </c>
      <c r="L6" s="37">
        <f>L27</f>
        <v>2265.8216627759998</v>
      </c>
      <c r="M6" s="37">
        <f>H6-N6</f>
        <v>4503.6791426463997</v>
      </c>
      <c r="N6" s="37">
        <f>N26</f>
        <v>256.97899999999998</v>
      </c>
    </row>
    <row r="7" spans="1:23" ht="16.5" customHeight="1">
      <c r="A7" s="19" t="s">
        <v>35</v>
      </c>
      <c r="B7" s="34">
        <v>87.194999999999993</v>
      </c>
      <c r="C7" s="34">
        <v>86.331999999999994</v>
      </c>
      <c r="D7" s="34">
        <f>F7/C7</f>
        <v>51.374137052309692</v>
      </c>
      <c r="E7" s="35">
        <f>N6</f>
        <v>256.97899999999998</v>
      </c>
      <c r="F7" s="36">
        <v>4435.232</v>
      </c>
      <c r="G7" s="37">
        <v>15</v>
      </c>
      <c r="H7" s="37">
        <f>SUM(E7:G7)</f>
        <v>4707.2110000000002</v>
      </c>
      <c r="I7" s="19"/>
      <c r="J7" s="36">
        <v>2205</v>
      </c>
      <c r="K7" s="36">
        <f t="shared" si="0"/>
        <v>117.61099999999988</v>
      </c>
      <c r="L7" s="37">
        <v>2145</v>
      </c>
      <c r="M7" s="37">
        <f>H7-N7</f>
        <v>4467.6109999999999</v>
      </c>
      <c r="N7" s="37">
        <v>239.6</v>
      </c>
    </row>
    <row r="8" spans="1:23" ht="16.5" customHeight="1">
      <c r="A8" s="19" t="s">
        <v>36</v>
      </c>
      <c r="B8" s="34">
        <v>87.454999999999998</v>
      </c>
      <c r="C8" s="34">
        <v>86.631</v>
      </c>
      <c r="D8" s="34">
        <f>F8/C8</f>
        <v>50.538421581189183</v>
      </c>
      <c r="E8" s="35">
        <f>N7</f>
        <v>239.6</v>
      </c>
      <c r="F8" s="36">
        <v>4378.1940000000004</v>
      </c>
      <c r="G8" s="37">
        <v>15</v>
      </c>
      <c r="H8" s="37">
        <f>SUM(E8:G8)</f>
        <v>4632.7940000000008</v>
      </c>
      <c r="I8" s="19"/>
      <c r="J8" s="36">
        <v>2225</v>
      </c>
      <c r="K8" s="36">
        <f t="shared" si="0"/>
        <v>122.79400000000078</v>
      </c>
      <c r="L8" s="37">
        <v>2085</v>
      </c>
      <c r="M8" s="37">
        <f>H8-N8</f>
        <v>4432.7940000000008</v>
      </c>
      <c r="N8" s="37">
        <v>200</v>
      </c>
    </row>
    <row r="9" spans="1:23" ht="16.5" customHeight="1">
      <c r="A9" s="23"/>
      <c r="B9" s="23"/>
      <c r="C9" s="23"/>
      <c r="D9" s="23"/>
      <c r="E9" s="38"/>
      <c r="F9" s="38"/>
      <c r="G9" s="39"/>
      <c r="H9" s="38"/>
      <c r="I9" s="38"/>
      <c r="J9" s="39"/>
      <c r="K9" s="39"/>
      <c r="L9" s="39"/>
      <c r="M9" s="39"/>
      <c r="N9" s="39"/>
    </row>
    <row r="10" spans="1:23" ht="16.5" customHeight="1">
      <c r="A10" s="41" t="s">
        <v>34</v>
      </c>
      <c r="B10" s="123"/>
      <c r="C10" s="123"/>
      <c r="D10" s="123"/>
      <c r="E10" s="43"/>
      <c r="F10" s="44"/>
      <c r="G10" s="7"/>
      <c r="H10" s="14"/>
      <c r="I10" s="123"/>
      <c r="J10" s="14"/>
      <c r="K10" s="45"/>
      <c r="L10" s="7"/>
      <c r="M10" s="7"/>
      <c r="N10" s="14"/>
    </row>
    <row r="11" spans="1:23" ht="16.5" customHeight="1">
      <c r="A11" s="23" t="s">
        <v>37</v>
      </c>
      <c r="B11" s="123"/>
      <c r="C11" s="123"/>
      <c r="D11" s="141"/>
      <c r="E11" s="43"/>
      <c r="F11" s="44"/>
      <c r="G11" s="7">
        <f>(44527.6*36.744)/1000000</f>
        <v>1.6361221343999999</v>
      </c>
      <c r="I11" s="123"/>
      <c r="J11" s="14">
        <f>((5131665*0.907185)*36.744)/1000000</f>
        <v>171.05689738659061</v>
      </c>
      <c r="K11" s="42"/>
      <c r="L11" s="7">
        <f>(7192128.4*36.744)/1000000</f>
        <v>264.26756592959998</v>
      </c>
      <c r="M11" s="7"/>
      <c r="N11" s="14"/>
      <c r="Q11" s="141"/>
    </row>
    <row r="12" spans="1:23" ht="16.5" customHeight="1">
      <c r="A12" s="23" t="s">
        <v>38</v>
      </c>
      <c r="B12" s="123"/>
      <c r="C12" s="123"/>
      <c r="D12" s="141"/>
      <c r="E12" s="46"/>
      <c r="F12" s="44"/>
      <c r="G12" s="7">
        <f>(24879.1*36.744)/1000000</f>
        <v>0.91415765039999997</v>
      </c>
      <c r="I12" s="123"/>
      <c r="J12" s="14">
        <f>((5897079*0.907185)*36.744)/1000000</f>
        <v>196.57090581392558</v>
      </c>
      <c r="K12" s="42"/>
      <c r="L12" s="7">
        <f>(11588995.4*36.744)/1000000</f>
        <v>425.82604697760001</v>
      </c>
      <c r="M12" s="7"/>
      <c r="N12" s="14"/>
      <c r="Q12" s="141"/>
    </row>
    <row r="13" spans="1:23" ht="16.5" customHeight="1">
      <c r="A13" s="23" t="s">
        <v>39</v>
      </c>
      <c r="B13" s="123"/>
      <c r="C13" s="123"/>
      <c r="D13" s="141"/>
      <c r="E13" s="46"/>
      <c r="F13" s="44"/>
      <c r="G13" s="7">
        <f>(12427.6*36.744)/1000000</f>
        <v>0.4566397344</v>
      </c>
      <c r="I13" s="123"/>
      <c r="J13" s="14">
        <f>((5731207*0.907185)*36.744)/1000000</f>
        <v>191.04179397920748</v>
      </c>
      <c r="K13" s="42"/>
      <c r="L13" s="7">
        <f>(10861958.6*36.744)/1000000</f>
        <v>399.11180679839998</v>
      </c>
      <c r="M13" s="7"/>
      <c r="N13" s="14"/>
      <c r="Q13" s="141"/>
    </row>
    <row r="14" spans="1:23" ht="16.5" customHeight="1">
      <c r="A14" s="23" t="s">
        <v>40</v>
      </c>
      <c r="B14" s="123"/>
      <c r="C14" s="123"/>
      <c r="E14" s="43">
        <v>524.54100000000005</v>
      </c>
      <c r="F14" s="44">
        <v>4216.3019999999997</v>
      </c>
      <c r="G14" s="7">
        <f>G11+G12+G13</f>
        <v>3.0069195191999998</v>
      </c>
      <c r="H14" s="14">
        <f>E14+F14+G14</f>
        <v>4743.8499195191998</v>
      </c>
      <c r="I14" s="123"/>
      <c r="J14" s="14">
        <f>J11+J12+J13</f>
        <v>558.66959717972361</v>
      </c>
      <c r="K14" s="42">
        <f>M14-L14-J14</f>
        <v>149.23490263387646</v>
      </c>
      <c r="L14" s="7">
        <f>L11+L12+L13</f>
        <v>1089.2054197056</v>
      </c>
      <c r="M14" s="7">
        <f>H14-N14</f>
        <v>1797.1099195192</v>
      </c>
      <c r="N14" s="14">
        <v>2946.74</v>
      </c>
    </row>
    <row r="15" spans="1:23" ht="16.899999999999999" customHeight="1">
      <c r="A15" s="19" t="s">
        <v>41</v>
      </c>
      <c r="B15" s="123"/>
      <c r="C15" s="123"/>
      <c r="D15" s="141"/>
      <c r="E15" s="43"/>
      <c r="F15" s="7"/>
      <c r="G15" s="7">
        <f>(23426.8*36.744)/1000000</f>
        <v>0.86079433919999992</v>
      </c>
      <c r="H15" s="14"/>
      <c r="I15" s="123"/>
      <c r="J15" s="14">
        <f>((5794233*0.907185)*36.744)/1000000</f>
        <v>193.14267780827416</v>
      </c>
      <c r="K15" s="42"/>
      <c r="L15" s="7">
        <f>(10517316.5*36.744)/1000000</f>
        <v>386.44827747599999</v>
      </c>
      <c r="M15" s="7"/>
      <c r="N15" s="14"/>
      <c r="Q15" s="141"/>
    </row>
    <row r="16" spans="1:23" ht="16.899999999999999" customHeight="1">
      <c r="A16" s="19" t="s">
        <v>42</v>
      </c>
      <c r="B16" s="123"/>
      <c r="C16" s="123"/>
      <c r="D16" s="141"/>
      <c r="E16" s="43"/>
      <c r="F16" s="7"/>
      <c r="G16" s="7">
        <f>(19644.9*36.744)/1000000</f>
        <v>0.72183220560000005</v>
      </c>
      <c r="H16" s="14"/>
      <c r="I16" s="123"/>
      <c r="J16" s="14">
        <f>((5895360*0.907185)*36.744)/1000000</f>
        <v>196.5136053458304</v>
      </c>
      <c r="K16" s="42"/>
      <c r="L16" s="7">
        <f>(9030505.3*36.744)/1000000</f>
        <v>331.81688674320003</v>
      </c>
      <c r="M16" s="7"/>
      <c r="N16" s="14"/>
      <c r="Q16" s="141"/>
    </row>
    <row r="17" spans="1:17" ht="16.899999999999999" customHeight="1">
      <c r="A17" s="19" t="s">
        <v>43</v>
      </c>
      <c r="B17" s="123"/>
      <c r="C17" s="123"/>
      <c r="D17" s="141"/>
      <c r="E17" s="43"/>
      <c r="F17" s="7"/>
      <c r="G17" s="7">
        <f>(22550.4*36.744)/1000000</f>
        <v>0.82859189760000007</v>
      </c>
      <c r="H17" s="14"/>
      <c r="I17" s="123"/>
      <c r="J17" s="14">
        <f>((4930499*0.907185)*36.744)/1000000</f>
        <v>164.35130927441435</v>
      </c>
      <c r="K17" s="42"/>
      <c r="L17" s="7">
        <f>(4482349.1*36.744)/1000000</f>
        <v>164.69943533039998</v>
      </c>
      <c r="M17" s="7"/>
      <c r="N17" s="14"/>
      <c r="Q17" s="141"/>
    </row>
    <row r="18" spans="1:17" ht="16.899999999999999" customHeight="1">
      <c r="A18" s="19" t="s">
        <v>44</v>
      </c>
      <c r="B18" s="123"/>
      <c r="C18" s="123"/>
      <c r="E18" s="43">
        <f>N14</f>
        <v>2946.74</v>
      </c>
      <c r="F18" s="7"/>
      <c r="G18" s="7">
        <f>SUM(G15:G17)</f>
        <v>2.4112184424000001</v>
      </c>
      <c r="H18" s="14">
        <f>E18+F18+G18</f>
        <v>2949.1512184423996</v>
      </c>
      <c r="I18" s="123"/>
      <c r="J18" s="14">
        <f>SUM(J15:J17)</f>
        <v>554.00759242851893</v>
      </c>
      <c r="K18" s="42">
        <f>M18-L18-J18</f>
        <v>-49.504973535719273</v>
      </c>
      <c r="L18" s="7">
        <f>SUM(L15:L17)</f>
        <v>882.96459954959994</v>
      </c>
      <c r="M18" s="7">
        <f>H18-N18</f>
        <v>1387.4672184423996</v>
      </c>
      <c r="N18" s="14">
        <v>1561.684</v>
      </c>
    </row>
    <row r="19" spans="1:17" ht="16.899999999999999" customHeight="1">
      <c r="A19" s="19" t="s">
        <v>45</v>
      </c>
      <c r="B19" s="123"/>
      <c r="C19" s="123"/>
      <c r="D19" s="141"/>
      <c r="E19" s="43"/>
      <c r="F19" s="7"/>
      <c r="G19" s="7">
        <f>(26147*36.744)/1000000</f>
        <v>0.96074536799999999</v>
      </c>
      <c r="H19" s="14"/>
      <c r="I19" s="123"/>
      <c r="J19" s="14">
        <f>((5646728*0.907185)*36.744)/1000000</f>
        <v>188.22580430834591</v>
      </c>
      <c r="K19" s="42"/>
      <c r="L19" s="7">
        <f>(2263588.8*36.744)/1000000</f>
        <v>83.173306867199983</v>
      </c>
      <c r="M19" s="7"/>
      <c r="N19" s="47"/>
      <c r="Q19" s="141"/>
    </row>
    <row r="20" spans="1:17" ht="16.899999999999999" customHeight="1">
      <c r="A20" s="19" t="s">
        <v>46</v>
      </c>
      <c r="B20" s="123"/>
      <c r="C20" s="123"/>
      <c r="D20" s="141"/>
      <c r="E20" s="43"/>
      <c r="F20" s="7"/>
      <c r="G20" s="7">
        <f>(34537.1*36.744)/1000000</f>
        <v>1.2690312023999999</v>
      </c>
      <c r="H20" s="14"/>
      <c r="I20" s="123"/>
      <c r="J20" s="14">
        <f>((5095631*0.907185)*36.744)/1000000</f>
        <v>169.85575424095885</v>
      </c>
      <c r="K20" s="42"/>
      <c r="L20" s="7">
        <f>(1357192.2*36.744)/1000000</f>
        <v>49.868670196800004</v>
      </c>
      <c r="M20" s="7"/>
      <c r="N20" s="47"/>
      <c r="Q20" s="141"/>
    </row>
    <row r="21" spans="1:17" ht="16.899999999999999" customHeight="1">
      <c r="A21" s="19" t="s">
        <v>47</v>
      </c>
      <c r="B21" s="123"/>
      <c r="C21" s="123"/>
      <c r="D21" s="141"/>
      <c r="E21" s="43"/>
      <c r="F21" s="7"/>
      <c r="G21" s="7">
        <f>(50827.9*36.744)/1000000</f>
        <v>1.8676203575999999</v>
      </c>
      <c r="H21" s="14"/>
      <c r="I21" s="123"/>
      <c r="J21" s="14">
        <f>((5205032*0.907185)*36.744)/1000000</f>
        <v>173.50248403158051</v>
      </c>
      <c r="K21" s="42"/>
      <c r="L21" s="7">
        <f>(1338409*36.744)/1000000</f>
        <v>49.178500295999996</v>
      </c>
      <c r="M21" s="7"/>
      <c r="N21" s="47"/>
      <c r="Q21" s="141"/>
    </row>
    <row r="22" spans="1:17" ht="16.899999999999999" customHeight="1">
      <c r="A22" s="19" t="s">
        <v>48</v>
      </c>
      <c r="B22" s="123"/>
      <c r="C22" s="123"/>
      <c r="E22" s="43">
        <f>N18</f>
        <v>1561.684</v>
      </c>
      <c r="F22" s="7"/>
      <c r="G22" s="7">
        <f>SUM(G19:G21)</f>
        <v>4.0973969280000002</v>
      </c>
      <c r="H22" s="14">
        <f>E22+F22+G22</f>
        <v>1565.781396928</v>
      </c>
      <c r="I22" s="123"/>
      <c r="J22" s="15">
        <f>SUM(J19:J21)</f>
        <v>531.58404258088524</v>
      </c>
      <c r="K22" s="42">
        <f>M22-L22-J22</f>
        <v>82.936876987114942</v>
      </c>
      <c r="L22" s="7">
        <f>SUM(L19:L21)</f>
        <v>182.22047735999996</v>
      </c>
      <c r="M22" s="7">
        <f>H22-N22</f>
        <v>796.74139692800009</v>
      </c>
      <c r="N22" s="14">
        <v>769.04</v>
      </c>
    </row>
    <row r="23" spans="1:17" ht="16.899999999999999" customHeight="1">
      <c r="A23" s="19" t="s">
        <v>49</v>
      </c>
      <c r="B23" s="123"/>
      <c r="C23" s="123"/>
      <c r="D23" s="141"/>
      <c r="E23" s="43"/>
      <c r="F23" s="7"/>
      <c r="G23" s="7">
        <f>(205425.2*36.744)/1000000</f>
        <v>7.5481435487999997</v>
      </c>
      <c r="H23" s="14"/>
      <c r="I23" s="123"/>
      <c r="J23" s="15">
        <f>((4852334*0.907185)*36.744)/1000000</f>
        <v>161.74578798956375</v>
      </c>
      <c r="K23" s="42"/>
      <c r="L23" s="7">
        <f>(924769.8*36.744)/1000000</f>
        <v>33.979741531199998</v>
      </c>
      <c r="M23" s="7"/>
      <c r="N23" s="14"/>
      <c r="Q23" s="141"/>
    </row>
    <row r="24" spans="1:17" ht="16.899999999999999" customHeight="1">
      <c r="A24" s="19" t="s">
        <v>50</v>
      </c>
      <c r="B24" s="123"/>
      <c r="C24" s="123"/>
      <c r="D24" s="141"/>
      <c r="E24" s="43"/>
      <c r="F24" s="7"/>
      <c r="G24" s="7">
        <f>(59745.5*36.744)/1000000</f>
        <v>2.1952886519999999</v>
      </c>
      <c r="H24" s="14"/>
      <c r="I24" s="123"/>
      <c r="J24" s="15">
        <f>((4989996*0.907185)*36.744)/1000000</f>
        <v>166.33455880917742</v>
      </c>
      <c r="K24" s="42"/>
      <c r="L24" s="7">
        <f>(947774.2*36.744)/1000000</f>
        <v>34.825015204799996</v>
      </c>
      <c r="M24" s="7"/>
      <c r="N24" s="14"/>
      <c r="Q24" s="141"/>
    </row>
    <row r="25" spans="1:17" ht="16.899999999999999" customHeight="1">
      <c r="A25" s="19" t="s">
        <v>51</v>
      </c>
      <c r="B25" s="123"/>
      <c r="C25" s="123"/>
      <c r="D25" s="141"/>
      <c r="E25" s="43"/>
      <c r="F25" s="7"/>
      <c r="G25" s="7">
        <f>(15136.5*36.744)/1000000</f>
        <v>0.55617555600000002</v>
      </c>
      <c r="H25" s="14"/>
      <c r="I25" s="123"/>
      <c r="J25" s="15">
        <f>((5047776*0.907185)*36.744)/1000000</f>
        <v>168.26057454305666</v>
      </c>
      <c r="K25" s="42"/>
      <c r="L25" s="7">
        <f>(1160091.7*36.744)/1000000</f>
        <v>42.626409424800002</v>
      </c>
      <c r="M25" s="7"/>
      <c r="N25" s="14"/>
      <c r="Q25" s="141"/>
    </row>
    <row r="26" spans="1:17" ht="16.899999999999999" customHeight="1">
      <c r="A26" s="19" t="s">
        <v>52</v>
      </c>
      <c r="B26" s="123"/>
      <c r="C26" s="123"/>
      <c r="D26" s="123"/>
      <c r="E26" s="43">
        <f>N22</f>
        <v>769.04</v>
      </c>
      <c r="F26" s="7"/>
      <c r="G26" s="7">
        <f>SUM(G23:G25)</f>
        <v>10.299607756799999</v>
      </c>
      <c r="H26" s="14">
        <f>E26+F26+G26</f>
        <v>779.33960775679998</v>
      </c>
      <c r="I26" s="123"/>
      <c r="J26" s="15">
        <f>SUM(J23:J25)</f>
        <v>496.34092134179787</v>
      </c>
      <c r="K26" s="45">
        <f>M26-L26-J26</f>
        <v>-85.411479745797919</v>
      </c>
      <c r="L26" s="7">
        <f>SUM(L23:L25)</f>
        <v>111.4311661608</v>
      </c>
      <c r="M26" s="7">
        <f>H26-N26</f>
        <v>522.36060775679994</v>
      </c>
      <c r="N26" s="14">
        <v>256.97899999999998</v>
      </c>
    </row>
    <row r="27" spans="1:17" s="59" customFormat="1" ht="16.5" customHeight="1">
      <c r="A27" s="23" t="s">
        <v>28</v>
      </c>
      <c r="B27" s="123"/>
      <c r="C27" s="123"/>
      <c r="D27" s="123"/>
      <c r="E27" s="43"/>
      <c r="F27" s="44">
        <f>F14</f>
        <v>4216.3019999999997</v>
      </c>
      <c r="G27" s="7">
        <f>G14+G18+G22+G26</f>
        <v>19.815142646399998</v>
      </c>
      <c r="H27" s="14">
        <f>E14+F27+G27</f>
        <v>4760.6581426463999</v>
      </c>
      <c r="I27" s="123"/>
      <c r="J27" s="14">
        <f>J14+J18+J22+J26</f>
        <v>2140.6021535309255</v>
      </c>
      <c r="K27" s="42">
        <f>SUM(K14,K18,K22,K26)</f>
        <v>97.255326339474209</v>
      </c>
      <c r="L27" s="7">
        <f>L14+L18+L22+L26</f>
        <v>2265.8216627759998</v>
      </c>
      <c r="M27" s="7">
        <f>M14+M18+M22+M26</f>
        <v>4503.6791426463997</v>
      </c>
      <c r="N27" s="14"/>
    </row>
    <row r="28" spans="1:17" ht="16.5" customHeight="1">
      <c r="A28" s="23"/>
      <c r="B28" s="123"/>
      <c r="C28" s="123"/>
      <c r="D28" s="123"/>
      <c r="E28" s="43"/>
      <c r="F28" s="44"/>
      <c r="G28" s="7"/>
      <c r="H28" s="14"/>
      <c r="I28" s="123"/>
      <c r="J28" s="14"/>
      <c r="K28" s="42"/>
      <c r="L28" s="7"/>
      <c r="M28" s="7"/>
      <c r="N28" s="14"/>
    </row>
    <row r="29" spans="1:17" ht="16.5" customHeight="1">
      <c r="A29" s="55" t="s">
        <v>53</v>
      </c>
      <c r="B29" s="123"/>
      <c r="C29" s="123"/>
      <c r="D29" s="123"/>
      <c r="E29" s="43"/>
      <c r="F29" s="44"/>
      <c r="G29" s="7"/>
      <c r="H29" s="14"/>
      <c r="I29" s="123"/>
      <c r="J29" s="14"/>
      <c r="K29" s="42"/>
      <c r="L29" s="7"/>
      <c r="M29" s="7"/>
      <c r="N29" s="14"/>
    </row>
    <row r="30" spans="1:17" ht="16.5" customHeight="1">
      <c r="A30" s="23" t="s">
        <v>37</v>
      </c>
      <c r="B30" s="123"/>
      <c r="C30" s="123"/>
      <c r="D30" s="141"/>
      <c r="E30" s="43"/>
      <c r="F30" s="44"/>
      <c r="G30" s="7">
        <f>(24488.6*36.744)/1000000</f>
        <v>0.89980911839999989</v>
      </c>
      <c r="I30" s="123"/>
      <c r="J30" s="14">
        <f>((4924574*0.907185)*36.744)/1000000</f>
        <v>164.15380766099736</v>
      </c>
      <c r="K30" s="42"/>
      <c r="L30" s="7">
        <f>(2098690.6*36.744)/1000000</f>
        <v>77.11428740640001</v>
      </c>
      <c r="M30" s="7"/>
      <c r="N30" s="14"/>
      <c r="Q30" s="141"/>
    </row>
    <row r="31" spans="1:17" ht="16.5" customHeight="1">
      <c r="A31" s="23" t="s">
        <v>38</v>
      </c>
      <c r="B31" s="123"/>
      <c r="C31" s="123"/>
      <c r="D31" s="141"/>
      <c r="E31" s="43"/>
      <c r="F31" s="44"/>
      <c r="G31" s="7">
        <f>(19229.4*36.744)/1000000</f>
        <v>0.70656507359999998</v>
      </c>
      <c r="I31" s="123"/>
      <c r="J31" s="14">
        <f>((5908157*0.907185)*36.744)/1000000</f>
        <v>196.9401754972055</v>
      </c>
      <c r="K31" s="42"/>
      <c r="L31" s="7">
        <f>(10749625.7*36.744)/1000000</f>
        <v>394.9842467208</v>
      </c>
      <c r="M31" s="7"/>
      <c r="N31" s="14"/>
      <c r="Q31" s="141"/>
    </row>
    <row r="32" spans="1:17" ht="16.5" customHeight="1">
      <c r="A32" s="23" t="s">
        <v>39</v>
      </c>
      <c r="B32" s="123"/>
      <c r="C32" s="123"/>
      <c r="D32" s="141"/>
      <c r="E32" s="43"/>
      <c r="F32" s="44"/>
      <c r="G32" s="7">
        <f>(34894.1*36.744)/1000000</f>
        <v>1.2821488103999998</v>
      </c>
      <c r="I32" s="123"/>
      <c r="J32" s="14">
        <f>((5717943*0.907185)*36.744)/1000000</f>
        <v>190.59965703399854</v>
      </c>
      <c r="K32" s="42"/>
      <c r="L32" s="7">
        <f>(10581460.9*36.744)/1000000</f>
        <v>388.80519930959997</v>
      </c>
      <c r="M32" s="7"/>
      <c r="N32" s="14"/>
      <c r="Q32" s="141"/>
    </row>
    <row r="33" spans="1:73" ht="16.5" customHeight="1">
      <c r="A33" s="23" t="s">
        <v>40</v>
      </c>
      <c r="B33" s="123"/>
      <c r="C33" s="123"/>
      <c r="E33" s="43">
        <f>N26</f>
        <v>256.97899999999998</v>
      </c>
      <c r="F33" s="43">
        <v>4435.232</v>
      </c>
      <c r="G33" s="7">
        <f>SUM(G30:G32)</f>
        <v>2.8885230023999995</v>
      </c>
      <c r="H33" s="14">
        <f>SUM(E33:G33)</f>
        <v>4695.0995230024</v>
      </c>
      <c r="I33" s="123"/>
      <c r="J33" s="14">
        <f>SUM(J30:J32)</f>
        <v>551.69364019220143</v>
      </c>
      <c r="K33" s="42">
        <f>M33-L33-J33</f>
        <v>130.97814937339876</v>
      </c>
      <c r="L33" s="7">
        <f>SUM(L30:L32)</f>
        <v>860.90373343679994</v>
      </c>
      <c r="M33" s="7">
        <f>H33-N33</f>
        <v>1543.5755230024001</v>
      </c>
      <c r="N33" s="14">
        <v>3151.5239999999999</v>
      </c>
    </row>
    <row r="34" spans="1:73" ht="16.5" customHeight="1">
      <c r="A34" s="19" t="s">
        <v>41</v>
      </c>
      <c r="B34" s="123"/>
      <c r="C34" s="123"/>
      <c r="D34" s="141"/>
      <c r="E34" s="43"/>
      <c r="F34" s="43"/>
      <c r="G34" s="7">
        <f>(27884.8*36.744)/1000000</f>
        <v>1.0245990912</v>
      </c>
      <c r="H34" s="14"/>
      <c r="I34" s="123"/>
      <c r="J34" s="14">
        <f>((5947222*0.907185)*36.744)/1000000</f>
        <v>198.24235280153209</v>
      </c>
      <c r="K34" s="42"/>
      <c r="L34" s="7">
        <f>(7940701.7*36.744)/1000000</f>
        <v>291.77314326480001</v>
      </c>
      <c r="M34" s="7"/>
      <c r="N34" s="14"/>
      <c r="Q34" s="141"/>
    </row>
    <row r="35" spans="1:73" ht="16.5" customHeight="1">
      <c r="A35" s="19" t="s">
        <v>42</v>
      </c>
      <c r="B35" s="123"/>
      <c r="C35" s="123"/>
      <c r="D35" s="141"/>
      <c r="E35" s="43"/>
      <c r="F35" s="43"/>
      <c r="G35" s="7">
        <f>(23947.4*36.744)/1000000</f>
        <v>0.8799232656</v>
      </c>
      <c r="H35" s="14"/>
      <c r="I35" s="123"/>
      <c r="J35" s="14">
        <f>((5828974*0.907185)*36.744)/1000000</f>
        <v>194.30072060181334</v>
      </c>
      <c r="K35" s="42"/>
      <c r="L35" s="7">
        <f>(6392108.3*36.744)/1000000</f>
        <v>234.87162737520001</v>
      </c>
      <c r="M35" s="7"/>
      <c r="N35" s="14"/>
      <c r="Q35" s="141"/>
    </row>
    <row r="36" spans="1:73" ht="16.5" customHeight="1">
      <c r="A36" s="19" t="s">
        <v>43</v>
      </c>
      <c r="B36" s="123"/>
      <c r="C36" s="123"/>
      <c r="D36" s="141"/>
      <c r="E36" s="43"/>
      <c r="F36" s="43"/>
      <c r="G36" s="7">
        <f>(47248.7*36.744)/1000000</f>
        <v>1.7361062327999999</v>
      </c>
      <c r="H36" s="14"/>
      <c r="I36" s="123"/>
      <c r="J36" s="14">
        <f>((5232453*0.907185)*36.744)/1000000</f>
        <v>174.41652483183492</v>
      </c>
      <c r="K36" s="42"/>
      <c r="L36" s="7">
        <f>(3791255.7*36.744)/1000000</f>
        <v>139.3058994408</v>
      </c>
      <c r="M36" s="7"/>
      <c r="N36" s="14"/>
      <c r="Q36" s="141"/>
    </row>
    <row r="37" spans="1:73" ht="16.5" customHeight="1">
      <c r="A37" s="19" t="s">
        <v>44</v>
      </c>
      <c r="B37" s="123"/>
      <c r="C37" s="123"/>
      <c r="E37" s="43">
        <f>N33</f>
        <v>3151.5239999999999</v>
      </c>
      <c r="F37" s="43"/>
      <c r="G37" s="7">
        <f>SUM(G34:G36)</f>
        <v>3.6406285895999999</v>
      </c>
      <c r="H37" s="14">
        <f>E37+F37+G37</f>
        <v>3155.1646285895999</v>
      </c>
      <c r="I37" s="123"/>
      <c r="J37" s="14">
        <f>SUM(J34:J36)</f>
        <v>566.95959823518035</v>
      </c>
      <c r="K37" s="42">
        <f>M37-L37-J37</f>
        <v>-9.0486397263805429</v>
      </c>
      <c r="L37" s="7">
        <f>SUM(L34:L36)</f>
        <v>665.95067008080002</v>
      </c>
      <c r="M37" s="7">
        <f>H37-N37</f>
        <v>1223.8616285895998</v>
      </c>
      <c r="N37" s="14">
        <v>1931.3030000000001</v>
      </c>
    </row>
    <row r="38" spans="1:73" ht="16.5" customHeight="1">
      <c r="A38" s="19" t="s">
        <v>45</v>
      </c>
      <c r="B38" s="123"/>
      <c r="C38" s="123"/>
      <c r="D38" s="141"/>
      <c r="E38" s="43"/>
      <c r="F38" s="43"/>
      <c r="G38" s="7">
        <f>(33665.9*36.744)/1000000</f>
        <v>1.2370198296000001</v>
      </c>
      <c r="H38" s="14"/>
      <c r="I38" s="123"/>
      <c r="J38" s="14">
        <f>((5786159*0.907185)*36.744)/1000000</f>
        <v>192.87354227633676</v>
      </c>
      <c r="K38" s="42"/>
      <c r="L38" s="7">
        <f>(3184420.8*36.744)/1000000</f>
        <v>117.00835787519999</v>
      </c>
      <c r="M38" s="7"/>
      <c r="N38" s="14"/>
      <c r="Q38" s="141"/>
    </row>
    <row r="39" spans="1:73" ht="16.5" customHeight="1">
      <c r="A39" s="19" t="s">
        <v>46</v>
      </c>
      <c r="B39" s="123"/>
      <c r="C39" s="123"/>
      <c r="D39" s="141"/>
      <c r="E39" s="43"/>
      <c r="F39" s="43"/>
      <c r="G39" s="7">
        <f>(49190.6*36.744)/1000000</f>
        <v>1.8074594064</v>
      </c>
      <c r="H39" s="14"/>
      <c r="I39" s="123"/>
      <c r="J39" s="14">
        <f>((5426712*0.907185)*36.744)/1000000</f>
        <v>180.89187772985568</v>
      </c>
      <c r="K39" s="42"/>
      <c r="L39" s="7">
        <f>(3657248.5*36.744)/1000000</f>
        <v>134.38193888399999</v>
      </c>
      <c r="M39" s="7"/>
      <c r="N39" s="14"/>
      <c r="Q39" s="141"/>
    </row>
    <row r="40" spans="1:73" ht="16.5" customHeight="1">
      <c r="A40" s="19" t="s">
        <v>47</v>
      </c>
      <c r="B40" s="123"/>
      <c r="C40" s="123"/>
      <c r="D40" s="141"/>
      <c r="E40" s="43"/>
      <c r="F40" s="43"/>
      <c r="G40" s="7">
        <f>(30553.6*36.744)/1000000</f>
        <v>1.1226614784</v>
      </c>
      <c r="H40" s="14"/>
      <c r="I40" s="123"/>
      <c r="J40" s="14">
        <f>((5427160*0.907185)*36.744)/1000000</f>
        <v>180.90681118518239</v>
      </c>
      <c r="K40" s="42"/>
      <c r="L40" s="7">
        <f>(2413962.6*36.744)/1000000</f>
        <v>88.698641774400002</v>
      </c>
      <c r="M40" s="7"/>
      <c r="N40" s="14"/>
      <c r="Q40" s="141"/>
    </row>
    <row r="41" spans="1:73" ht="16.5" customHeight="1">
      <c r="A41" s="19" t="s">
        <v>48</v>
      </c>
      <c r="B41" s="123"/>
      <c r="C41" s="123"/>
      <c r="E41" s="43">
        <f>N37</f>
        <v>1931.3030000000001</v>
      </c>
      <c r="F41" s="43"/>
      <c r="G41" s="7">
        <f>SUM(G38:G40)</f>
        <v>4.1671407144000003</v>
      </c>
      <c r="H41" s="14">
        <f>E41+F41+G41</f>
        <v>1935.4701407144</v>
      </c>
      <c r="I41" s="123"/>
      <c r="J41" s="14">
        <f>SUM(J38:J40)</f>
        <v>554.67223119137486</v>
      </c>
      <c r="K41" s="42">
        <f>M41-L41-J41</f>
        <v>69.268970989425156</v>
      </c>
      <c r="L41" s="7">
        <f>SUM(L38:L40)</f>
        <v>340.08893853360001</v>
      </c>
      <c r="M41" s="7">
        <f>H41-N41</f>
        <v>964.03014071439998</v>
      </c>
      <c r="N41" s="14">
        <v>971.44</v>
      </c>
    </row>
    <row r="42" spans="1:73" ht="16.5" customHeight="1">
      <c r="A42" s="19" t="s">
        <v>49</v>
      </c>
      <c r="B42" s="123"/>
      <c r="C42" s="123"/>
      <c r="D42"/>
      <c r="E42" s="43"/>
      <c r="F42" s="43"/>
      <c r="G42" s="7">
        <f>(21134.8*36.744)/1000000</f>
        <v>0.77657709120000007</v>
      </c>
      <c r="H42" s="14"/>
      <c r="I42" s="123"/>
      <c r="J42" s="14">
        <f>((5222412*0.907185)*36.744)/1000000</f>
        <v>174.08182209760369</v>
      </c>
      <c r="K42" s="42"/>
      <c r="L42" s="7">
        <f>(2271040.2*36.744)/1000000</f>
        <v>83.447101108800013</v>
      </c>
      <c r="M42" s="7"/>
      <c r="N42" s="14"/>
      <c r="Q42"/>
    </row>
    <row r="43" spans="1:73" ht="16.5" customHeight="1">
      <c r="A43" s="19" t="s">
        <v>50</v>
      </c>
      <c r="B43" s="123"/>
      <c r="C43" s="123"/>
      <c r="D43"/>
      <c r="E43" s="43"/>
      <c r="F43" s="43"/>
      <c r="G43" s="7">
        <f>(60079*36.744)/1000000</f>
        <v>2.2075427759999999</v>
      </c>
      <c r="H43" s="14"/>
      <c r="I43" s="123"/>
      <c r="J43" s="14">
        <f>((5440043*0.907185)*36.744)/1000000</f>
        <v>181.33624802664252</v>
      </c>
      <c r="K43" s="42"/>
      <c r="L43" s="7">
        <f>(2323087.5*36.744)/1000000</f>
        <v>85.359527099999994</v>
      </c>
      <c r="M43" s="7"/>
      <c r="N43" s="14"/>
      <c r="Q43"/>
    </row>
    <row r="44" spans="1:73" ht="16.5" customHeight="1">
      <c r="A44" s="23" t="s">
        <v>28</v>
      </c>
      <c r="B44" s="123"/>
      <c r="C44" s="123"/>
      <c r="D44" s="123"/>
      <c r="E44" s="43"/>
      <c r="F44" s="43"/>
      <c r="G44" s="7">
        <f>SUM(G33,G37,G41,G42,G43)</f>
        <v>13.680412173600001</v>
      </c>
      <c r="H44" s="14"/>
      <c r="I44" s="123"/>
      <c r="J44" s="14">
        <f>SUM(J33,J37,J41,J42,J43)</f>
        <v>2028.7435397430031</v>
      </c>
      <c r="K44" s="42"/>
      <c r="L44" s="7">
        <f>SUM(L33,L37,L41,L42,L43)</f>
        <v>2035.7499702600001</v>
      </c>
      <c r="M44" s="7"/>
      <c r="N44" s="14"/>
    </row>
    <row r="45" spans="1:73" ht="16.5" customHeight="1">
      <c r="A45" s="117" t="s">
        <v>54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118"/>
      <c r="M45" s="96"/>
      <c r="N45" s="96"/>
    </row>
    <row r="46" spans="1:73" ht="16.5" customHeight="1">
      <c r="A46" s="19" t="s">
        <v>55</v>
      </c>
      <c r="B46" s="19"/>
      <c r="C46" s="19"/>
      <c r="D46" s="1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73" ht="16.5" customHeight="1">
      <c r="A47" s="25" t="s">
        <v>56</v>
      </c>
      <c r="B47" s="50">
        <f ca="1">NOW()</f>
        <v>44818.289790162038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24"/>
      <c r="P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</row>
    <row r="48" spans="1:73">
      <c r="O48" s="124"/>
      <c r="P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</row>
    <row r="49" spans="6:73">
      <c r="O49" s="124"/>
      <c r="P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</row>
    <row r="50" spans="6:73">
      <c r="O50" s="124"/>
      <c r="P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</row>
    <row r="51" spans="6:73">
      <c r="F51" s="51"/>
      <c r="O51" s="124"/>
      <c r="P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</row>
    <row r="52" spans="6:73">
      <c r="O52" s="124"/>
      <c r="P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</row>
    <row r="53" spans="6:73">
      <c r="O53" s="124"/>
      <c r="P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</row>
    <row r="54" spans="6:73">
      <c r="O54" s="124"/>
      <c r="P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</row>
    <row r="55" spans="6:73">
      <c r="O55" s="124"/>
      <c r="P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</row>
    <row r="56" spans="6:73">
      <c r="O56" s="124"/>
      <c r="P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</row>
    <row r="57" spans="6:73">
      <c r="O57" s="124"/>
      <c r="P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</row>
    <row r="58" spans="6:73">
      <c r="O58" s="124"/>
      <c r="P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</row>
    <row r="59" spans="6:73">
      <c r="O59" s="124"/>
      <c r="P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</row>
    <row r="60" spans="6:73">
      <c r="O60" s="124"/>
      <c r="P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</row>
    <row r="61" spans="6:73">
      <c r="O61" s="124"/>
      <c r="P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</row>
    <row r="62" spans="6:73">
      <c r="O62" s="124"/>
      <c r="P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</row>
    <row r="63" spans="6:73">
      <c r="O63" s="124"/>
      <c r="P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</row>
    <row r="64" spans="6:73">
      <c r="O64" s="124"/>
      <c r="P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</row>
    <row r="65" spans="15:73">
      <c r="O65" s="124"/>
      <c r="P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</row>
    <row r="66" spans="15:73">
      <c r="O66" s="124"/>
      <c r="P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</row>
    <row r="67" spans="15:73">
      <c r="O67" s="124"/>
      <c r="P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</row>
    <row r="68" spans="15:73">
      <c r="O68" s="124"/>
      <c r="P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</row>
    <row r="69" spans="15:73">
      <c r="O69" s="124"/>
      <c r="P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</row>
    <row r="70" spans="15:73">
      <c r="O70" s="124"/>
      <c r="P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</row>
    <row r="71" spans="15:73">
      <c r="O71" s="124"/>
      <c r="P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</row>
    <row r="72" spans="15:73">
      <c r="O72" s="124"/>
      <c r="P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</row>
    <row r="73" spans="15:73">
      <c r="O73" s="124"/>
      <c r="P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</row>
    <row r="74" spans="15:73">
      <c r="O74" s="124"/>
      <c r="P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</row>
    <row r="75" spans="15:73"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</row>
    <row r="76" spans="15:73"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</row>
    <row r="77" spans="15:73"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</row>
    <row r="78" spans="15:73"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</row>
    <row r="79" spans="15:73"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</row>
    <row r="80" spans="15:73"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</row>
    <row r="81" spans="15:73"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</row>
    <row r="82" spans="15:73"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</row>
    <row r="83" spans="15:73"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</row>
    <row r="84" spans="15:73"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</row>
    <row r="85" spans="15:73"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</row>
    <row r="86" spans="15:73"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</row>
    <row r="87" spans="15:73"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</row>
    <row r="88" spans="15:73"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</row>
    <row r="89" spans="15:73"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</row>
    <row r="90" spans="15:73"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</row>
    <row r="91" spans="15:73"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</row>
    <row r="92" spans="15:73"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</row>
    <row r="93" spans="15:73"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</row>
    <row r="94" spans="15:73"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</row>
    <row r="95" spans="15:73"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</row>
    <row r="96" spans="15:73"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</row>
    <row r="97" spans="15:73"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</row>
    <row r="98" spans="15:73"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</row>
    <row r="99" spans="15:73"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</row>
    <row r="100" spans="15:73"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</row>
    <row r="101" spans="15:73"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</row>
    <row r="102" spans="15:73"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</row>
    <row r="103" spans="15:73"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</row>
    <row r="104" spans="15:73"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</row>
    <row r="105" spans="15:73"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</row>
    <row r="106" spans="15:73"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</row>
    <row r="107" spans="15:73"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</row>
    <row r="108" spans="15:73"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</row>
    <row r="109" spans="15:73"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</row>
    <row r="110" spans="15:73"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</row>
    <row r="111" spans="15:73"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</row>
    <row r="112" spans="15:73"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</row>
    <row r="113" spans="15:73"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</row>
    <row r="114" spans="15:73"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</row>
    <row r="115" spans="15:73"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</row>
    <row r="116" spans="15:73"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</row>
    <row r="117" spans="15:73"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</row>
    <row r="118" spans="15:73"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</row>
    <row r="119" spans="15:73"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</row>
    <row r="120" spans="15:73"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</row>
    <row r="121" spans="15:73"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</row>
    <row r="122" spans="15:73"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</row>
    <row r="123" spans="15:73"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</row>
    <row r="124" spans="15:73"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</row>
    <row r="125" spans="15:73"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</row>
    <row r="126" spans="15:73"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</row>
    <row r="127" spans="15:73"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</row>
    <row r="128" spans="15:73"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</row>
    <row r="129" spans="15:73"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</row>
    <row r="130" spans="15:73"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</row>
    <row r="131" spans="15:73"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</row>
    <row r="132" spans="15:73"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</row>
    <row r="133" spans="15:73"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</row>
    <row r="134" spans="15:73"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</row>
    <row r="135" spans="15:73"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</row>
    <row r="136" spans="15:73"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</row>
    <row r="137" spans="15:73"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</row>
    <row r="138" spans="15:73"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</row>
    <row r="139" spans="15:73"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</row>
    <row r="140" spans="15:73"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</row>
    <row r="141" spans="15:73"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</row>
    <row r="142" spans="15:73"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</row>
    <row r="143" spans="15:73"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</row>
    <row r="144" spans="15:73"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</row>
    <row r="145" spans="15:73"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</row>
    <row r="146" spans="15:73"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</row>
    <row r="147" spans="15:73"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</row>
    <row r="148" spans="15:73"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</row>
    <row r="149" spans="15:73"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</row>
    <row r="150" spans="15:73"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</row>
    <row r="151" spans="15:73"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</row>
    <row r="152" spans="15:73"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</row>
    <row r="153" spans="15:73"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</row>
    <row r="154" spans="15:73"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</row>
    <row r="155" spans="15:73"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</row>
    <row r="156" spans="15:73"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</row>
    <row r="157" spans="15:73"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</row>
    <row r="158" spans="15:73"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</row>
    <row r="159" spans="15:73"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</row>
    <row r="160" spans="15:73"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</row>
    <row r="161" spans="15:73"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</row>
    <row r="162" spans="15:73"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</row>
    <row r="163" spans="15:73"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</row>
    <row r="164" spans="15:73"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</row>
    <row r="165" spans="15:73"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</row>
    <row r="166" spans="15:73"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</row>
    <row r="167" spans="15:73"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</row>
    <row r="168" spans="15:73"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</row>
    <row r="169" spans="15:73"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</row>
    <row r="170" spans="15:73"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</row>
    <row r="171" spans="15:73"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</row>
    <row r="172" spans="15:73"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</row>
    <row r="173" spans="15:73"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</row>
    <row r="174" spans="15:73"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</row>
    <row r="175" spans="15:73"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</row>
    <row r="176" spans="15:73"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</row>
    <row r="177" spans="15:73"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</row>
    <row r="178" spans="15:73"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</row>
    <row r="179" spans="15:73"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</row>
    <row r="180" spans="15:73"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</row>
    <row r="181" spans="15:73"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</row>
    <row r="182" spans="15:73"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</row>
    <row r="183" spans="15:73"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</row>
    <row r="184" spans="15:73"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</row>
    <row r="185" spans="15:73"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</row>
    <row r="186" spans="15:73"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</row>
    <row r="187" spans="15:73"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</row>
    <row r="188" spans="15:73"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</row>
    <row r="189" spans="15:73"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</row>
    <row r="190" spans="15:73"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</row>
    <row r="191" spans="15:73"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</row>
    <row r="192" spans="15:73"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</row>
    <row r="193" spans="15:73"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</row>
    <row r="194" spans="15:73"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</row>
    <row r="195" spans="15:73"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</row>
    <row r="196" spans="15:73"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</row>
    <row r="197" spans="15:73"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</row>
    <row r="198" spans="15:73"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</row>
    <row r="199" spans="15:73"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</row>
    <row r="200" spans="15:73"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</row>
    <row r="201" spans="15:73"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</row>
    <row r="202" spans="15:73"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</row>
    <row r="203" spans="15:73"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</row>
    <row r="204" spans="15:73"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</row>
    <row r="205" spans="15:73"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</row>
    <row r="206" spans="15:73"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</row>
    <row r="207" spans="15:73"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</row>
    <row r="208" spans="15:73"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</row>
    <row r="209" spans="15:73"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</row>
    <row r="210" spans="15:73"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</row>
    <row r="211" spans="15:73"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</row>
    <row r="212" spans="15:73"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</row>
    <row r="213" spans="15:73"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</row>
    <row r="214" spans="15:73"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</row>
    <row r="215" spans="15:73"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</row>
    <row r="216" spans="15:73"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</row>
    <row r="217" spans="15:73"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</row>
    <row r="218" spans="15:73"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</row>
    <row r="219" spans="15:73"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</row>
    <row r="220" spans="15:73"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</row>
    <row r="221" spans="15:73"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</row>
    <row r="222" spans="15:73"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</row>
    <row r="223" spans="15:73"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</row>
    <row r="224" spans="15:73"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</row>
    <row r="225" spans="15:73"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</row>
    <row r="226" spans="15:73"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</row>
    <row r="227" spans="15:73"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</row>
    <row r="228" spans="15:73"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</row>
    <row r="229" spans="15:73"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</row>
    <row r="230" spans="15:73"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</row>
    <row r="231" spans="15:73"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</row>
    <row r="232" spans="15:73"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</row>
    <row r="233" spans="15:73"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</row>
    <row r="234" spans="15:73"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</row>
    <row r="235" spans="15:73"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</row>
    <row r="236" spans="15:73"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</row>
    <row r="237" spans="15:73"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</row>
    <row r="238" spans="15:73"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</row>
    <row r="239" spans="15:73"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</row>
    <row r="240" spans="15:73"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</row>
    <row r="241" spans="15:73"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</row>
    <row r="242" spans="15:73"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</row>
    <row r="243" spans="15:73"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</row>
    <row r="244" spans="15:73"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</row>
    <row r="245" spans="15:73"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</row>
    <row r="246" spans="15:73"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</row>
    <row r="247" spans="15:73"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</row>
    <row r="248" spans="15:73"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</row>
    <row r="249" spans="15:73"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</row>
    <row r="250" spans="15:73"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</row>
    <row r="251" spans="15:73"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</row>
    <row r="252" spans="15:73"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</row>
    <row r="253" spans="15:73"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</row>
    <row r="254" spans="15:73"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</row>
    <row r="255" spans="15:73"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</row>
    <row r="256" spans="15:73"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</row>
    <row r="257" spans="15:73"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</row>
    <row r="258" spans="15:73"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</row>
    <row r="259" spans="15:73"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</row>
    <row r="260" spans="15:73"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</row>
    <row r="261" spans="15:73"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</row>
    <row r="262" spans="15:73"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</row>
    <row r="263" spans="15:73"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</row>
    <row r="264" spans="15:73"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</row>
    <row r="265" spans="15:73"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</row>
    <row r="266" spans="15:73"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</row>
    <row r="267" spans="15:73"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</row>
    <row r="268" spans="15:73"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</row>
    <row r="269" spans="15:73"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</row>
    <row r="270" spans="15:73"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</row>
    <row r="271" spans="15:73"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</row>
    <row r="272" spans="15:73"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</row>
    <row r="273" spans="15:73"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</row>
    <row r="274" spans="15:73"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</row>
    <row r="275" spans="15:73"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</row>
    <row r="276" spans="15:73"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</row>
    <row r="277" spans="15:73"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</row>
    <row r="278" spans="15:73"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</row>
    <row r="279" spans="15:73"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</row>
    <row r="280" spans="15:73"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</row>
    <row r="281" spans="15:73"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</row>
    <row r="282" spans="15:73"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</row>
    <row r="283" spans="15:73"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</row>
    <row r="284" spans="15:73"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</row>
    <row r="285" spans="15:73"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</row>
    <row r="286" spans="15:73"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</row>
    <row r="287" spans="15:73"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</row>
    <row r="288" spans="15:73"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</row>
    <row r="289" spans="15:73"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</row>
    <row r="290" spans="15:73"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</row>
    <row r="291" spans="15:73"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</row>
    <row r="292" spans="15:73"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</row>
    <row r="293" spans="15:73"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</row>
    <row r="294" spans="15:73"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</row>
    <row r="295" spans="15:73"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</row>
    <row r="296" spans="15:73"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</row>
    <row r="297" spans="15:73"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</row>
    <row r="298" spans="15:73"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</row>
    <row r="299" spans="15:73"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</row>
    <row r="300" spans="15:73"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</row>
    <row r="301" spans="15:73"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</row>
    <row r="302" spans="15:73"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</row>
    <row r="303" spans="15:73"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</row>
    <row r="304" spans="15:73"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</row>
    <row r="305" spans="15:73"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</row>
    <row r="306" spans="15:73"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</row>
    <row r="307" spans="15:73"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</row>
    <row r="308" spans="15:73"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</row>
    <row r="309" spans="15:73"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</row>
    <row r="310" spans="15:73"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</row>
    <row r="311" spans="15:73"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</row>
    <row r="312" spans="15:73"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</row>
    <row r="313" spans="15:73"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</row>
    <row r="314" spans="15:73"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</row>
    <row r="315" spans="15:73"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</row>
    <row r="316" spans="15:73"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</row>
    <row r="317" spans="15:73"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</row>
    <row r="318" spans="15:73"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</row>
    <row r="319" spans="15:73"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</row>
    <row r="320" spans="15:73"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</row>
    <row r="321" spans="15:73"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</row>
    <row r="322" spans="15:73"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</row>
    <row r="323" spans="15:73"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</row>
    <row r="324" spans="15:73"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</row>
    <row r="325" spans="15:73"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</row>
    <row r="326" spans="15:73"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</row>
    <row r="327" spans="15:73"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</row>
    <row r="328" spans="15:73"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</row>
    <row r="329" spans="15:73"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</row>
    <row r="330" spans="15:73"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</row>
    <row r="331" spans="15:73"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</row>
    <row r="332" spans="15:73"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</row>
    <row r="333" spans="15:73"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</row>
    <row r="334" spans="15:73"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</row>
    <row r="335" spans="15:73"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</row>
    <row r="336" spans="15:73"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</row>
    <row r="337" spans="15:73"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</row>
    <row r="338" spans="15:73"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</row>
    <row r="339" spans="15:73"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</row>
    <row r="340" spans="15:73"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</row>
    <row r="341" spans="15:73"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</row>
    <row r="342" spans="15:73"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</row>
    <row r="343" spans="15:73"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</row>
    <row r="344" spans="15:73"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</row>
    <row r="345" spans="15:73"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</row>
    <row r="346" spans="15:73"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</row>
    <row r="347" spans="15:73"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</row>
    <row r="348" spans="15:73"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</row>
    <row r="349" spans="15:73"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</row>
    <row r="350" spans="15:73"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</row>
    <row r="351" spans="15:73"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</row>
    <row r="352" spans="15:73"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</row>
    <row r="353" spans="15:73"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</row>
    <row r="354" spans="15:73"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</row>
    <row r="355" spans="15:73"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</row>
    <row r="356" spans="15:73"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</row>
    <row r="357" spans="15:73"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</row>
    <row r="358" spans="15:73"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</row>
    <row r="359" spans="15:73"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</row>
    <row r="360" spans="15:73"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</row>
    <row r="361" spans="15:73"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</row>
    <row r="362" spans="15:73"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</row>
    <row r="363" spans="15:73"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</row>
    <row r="364" spans="15:73"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</row>
    <row r="365" spans="15:73"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</row>
    <row r="366" spans="15:73"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</row>
    <row r="367" spans="15:73"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</row>
    <row r="368" spans="15:73"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</row>
    <row r="369" spans="15:73"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</row>
    <row r="370" spans="15:73"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</row>
    <row r="371" spans="15:73"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</row>
    <row r="372" spans="15:73"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</row>
    <row r="373" spans="15:73"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</row>
    <row r="374" spans="15:73"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</row>
    <row r="375" spans="15:73"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</row>
    <row r="376" spans="15:73"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</row>
    <row r="377" spans="15:73"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</row>
    <row r="378" spans="15:73"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</row>
    <row r="379" spans="15:73"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</row>
    <row r="380" spans="15:73"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</row>
    <row r="381" spans="15:73"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</row>
    <row r="382" spans="15:73"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</row>
    <row r="383" spans="15:73"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</row>
    <row r="384" spans="15:73"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</row>
    <row r="385" spans="15:73"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</row>
    <row r="386" spans="15:73"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</row>
    <row r="387" spans="15:73"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</row>
    <row r="388" spans="15:73"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</row>
    <row r="389" spans="15:73"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</row>
    <row r="390" spans="15:73"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</row>
    <row r="391" spans="15:73"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</row>
    <row r="392" spans="15:73"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</row>
    <row r="393" spans="15:73"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</row>
    <row r="394" spans="15:73"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</row>
    <row r="395" spans="15:73"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</row>
    <row r="396" spans="15:73"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</row>
    <row r="397" spans="15:73"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</row>
    <row r="398" spans="15:73"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</row>
    <row r="399" spans="15:73"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</row>
    <row r="400" spans="15:73"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</row>
    <row r="401" spans="15:73"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</row>
    <row r="402" spans="15:73"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</row>
    <row r="403" spans="15:73"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</row>
    <row r="404" spans="15:73"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</row>
    <row r="405" spans="15:73"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</row>
    <row r="406" spans="15:73"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</row>
    <row r="407" spans="15:73"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</row>
    <row r="408" spans="15:73"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</row>
    <row r="409" spans="15:73"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</row>
    <row r="410" spans="15:73"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</row>
    <row r="411" spans="15:73"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</row>
    <row r="412" spans="15:73"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</row>
    <row r="413" spans="15:73"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</row>
    <row r="414" spans="15:73"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</row>
    <row r="415" spans="15:73"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</row>
    <row r="416" spans="15:73"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</row>
    <row r="417" spans="15:73"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</row>
    <row r="418" spans="15:73"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</row>
    <row r="419" spans="15:73"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</row>
    <row r="420" spans="15:73"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</row>
    <row r="421" spans="15:73"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</row>
    <row r="422" spans="15:73"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</row>
    <row r="423" spans="15:73"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</row>
    <row r="424" spans="15:73"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</row>
    <row r="425" spans="15:73"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</row>
    <row r="426" spans="15:73"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</row>
    <row r="427" spans="15:73"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</row>
    <row r="428" spans="15:73"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</row>
    <row r="429" spans="15:73"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</row>
    <row r="430" spans="15:73"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</row>
    <row r="431" spans="15:73"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</row>
    <row r="432" spans="15:73"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</row>
    <row r="433" spans="15:73"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</row>
    <row r="434" spans="15:73"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</row>
    <row r="435" spans="15:73"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</row>
    <row r="436" spans="15:73"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</row>
    <row r="437" spans="15:73"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</row>
    <row r="438" spans="15:73"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</row>
    <row r="439" spans="15:73"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</row>
    <row r="440" spans="15:73"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</row>
    <row r="441" spans="15:73"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</row>
    <row r="442" spans="15:73"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</row>
    <row r="443" spans="15:73"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</row>
    <row r="444" spans="15:73"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</row>
    <row r="445" spans="15:73"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</row>
    <row r="446" spans="15:73"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</row>
    <row r="447" spans="15:73"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</row>
    <row r="448" spans="15:73"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</row>
    <row r="449" spans="15:73"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</row>
    <row r="450" spans="15:73"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</row>
    <row r="451" spans="15:73"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</row>
    <row r="452" spans="15:73"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</row>
    <row r="453" spans="15:73"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</row>
    <row r="454" spans="15:73"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</row>
    <row r="455" spans="15:73"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</row>
    <row r="456" spans="15:73"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</row>
    <row r="457" spans="15:73"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</row>
    <row r="458" spans="15:73"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</row>
    <row r="459" spans="15:73"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</row>
    <row r="460" spans="15:73"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</row>
    <row r="461" spans="15:73"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</row>
    <row r="462" spans="15:73"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</row>
    <row r="463" spans="15:73"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</row>
    <row r="464" spans="15:73"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</row>
    <row r="465" spans="15:73"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</row>
    <row r="466" spans="15:73"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</row>
    <row r="467" spans="15:73"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</row>
    <row r="468" spans="15:73"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</row>
    <row r="469" spans="15:73"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</row>
    <row r="470" spans="15:73"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</row>
    <row r="471" spans="15:73"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</row>
    <row r="472" spans="15:73"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</row>
    <row r="473" spans="15:73"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</row>
    <row r="474" spans="15:73"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</row>
    <row r="475" spans="15:73"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</row>
    <row r="476" spans="15:73"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</row>
    <row r="477" spans="15:73"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</row>
    <row r="478" spans="15:73"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</row>
    <row r="479" spans="15:73"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</row>
    <row r="480" spans="15:73"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</row>
    <row r="481" spans="15:73"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</row>
    <row r="482" spans="15:73"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</row>
    <row r="483" spans="15:73"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</row>
    <row r="484" spans="15:73"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</row>
    <row r="485" spans="15:73"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</row>
    <row r="486" spans="15:73"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</row>
    <row r="487" spans="15:73"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</row>
    <row r="488" spans="15:73"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</row>
    <row r="489" spans="15:73"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</row>
    <row r="490" spans="15:73"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</row>
    <row r="491" spans="15:73"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</row>
    <row r="492" spans="15:73"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</row>
    <row r="493" spans="15:73"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</row>
    <row r="494" spans="15:73"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</row>
    <row r="495" spans="15:73"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</row>
    <row r="496" spans="15:73"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</row>
    <row r="497" spans="15:73"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</row>
    <row r="498" spans="15:73"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</row>
    <row r="499" spans="15:73"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</row>
    <row r="500" spans="15:73"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</row>
    <row r="501" spans="15:73"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</row>
    <row r="502" spans="15:73"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</row>
    <row r="503" spans="15:73"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</row>
    <row r="504" spans="15:73"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</row>
    <row r="505" spans="15:73"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</row>
    <row r="506" spans="15:73"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</row>
    <row r="507" spans="15:73"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</row>
    <row r="508" spans="15:73"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</row>
    <row r="509" spans="15:73"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</row>
    <row r="510" spans="15:73"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</row>
    <row r="511" spans="15:73"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</row>
    <row r="512" spans="15:73"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</row>
    <row r="513" spans="15:73"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</row>
    <row r="514" spans="15:73"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</row>
    <row r="515" spans="15:73"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</row>
    <row r="516" spans="15:73"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</row>
    <row r="517" spans="15:73"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</row>
    <row r="518" spans="15:73"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</row>
    <row r="519" spans="15:73"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</row>
    <row r="520" spans="15:73"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</row>
    <row r="521" spans="15:73"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</row>
    <row r="522" spans="15:73"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</row>
    <row r="523" spans="15:73"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</row>
    <row r="524" spans="15:73"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</row>
    <row r="525" spans="15:73"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</row>
    <row r="526" spans="15:73"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</row>
    <row r="527" spans="15:73"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</row>
    <row r="528" spans="15:73"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</row>
    <row r="529" spans="15:73"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</row>
    <row r="530" spans="15:73"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</row>
    <row r="531" spans="15:73"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</row>
    <row r="532" spans="15:73"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</row>
    <row r="533" spans="15:73"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</row>
    <row r="534" spans="15:73"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</row>
    <row r="535" spans="15:73"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</row>
    <row r="536" spans="15:73"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</row>
    <row r="537" spans="15:73"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</row>
    <row r="538" spans="15:73"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</row>
    <row r="539" spans="15:73"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</row>
    <row r="540" spans="15:73"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</row>
    <row r="541" spans="15:73"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</row>
    <row r="542" spans="15:73"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</row>
    <row r="543" spans="15:73"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</row>
    <row r="544" spans="15:73"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</row>
  </sheetData>
  <dataConsolidate link="1"/>
  <phoneticPr fontId="13" type="noConversion"/>
  <pageMargins left="0.75" right="0.75" top="1" bottom="1" header="0.5" footer="0.5"/>
  <pageSetup scale="54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2"/>
  <sheetViews>
    <sheetView showGridLines="0" topLeftCell="A22" zoomScale="70" zoomScaleNormal="70" workbookViewId="0">
      <selection activeCell="C42" sqref="C42"/>
    </sheetView>
  </sheetViews>
  <sheetFormatPr defaultColWidth="9.140625" defaultRowHeight="13.15"/>
  <cols>
    <col min="1" max="1" width="16" style="18" customWidth="1"/>
    <col min="2" max="2" width="12.28515625" style="18" bestFit="1" customWidth="1"/>
    <col min="3" max="3" width="11.7109375" style="18" bestFit="1" customWidth="1"/>
    <col min="4" max="4" width="8.7109375" style="18" bestFit="1" customWidth="1"/>
    <col min="5" max="5" width="11.5703125" style="18" bestFit="1" customWidth="1"/>
    <col min="6" max="6" width="1.7109375" style="18" customWidth="1"/>
    <col min="7" max="9" width="11.5703125" style="18" bestFit="1" customWidth="1"/>
    <col min="10" max="10" width="10.7109375" style="18" customWidth="1"/>
    <col min="11" max="11" width="13.5703125" style="18" customWidth="1"/>
    <col min="12" max="12" width="11.7109375" style="18" bestFit="1" customWidth="1"/>
    <col min="13" max="16384" width="9.140625" style="18"/>
  </cols>
  <sheetData>
    <row r="1" spans="1:12" ht="13.9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3.9">
      <c r="A2" s="19"/>
      <c r="B2" s="169" t="s">
        <v>57</v>
      </c>
      <c r="C2" s="169"/>
      <c r="D2" s="169"/>
      <c r="E2" s="169"/>
      <c r="F2" s="23"/>
      <c r="G2" s="169" t="s">
        <v>58</v>
      </c>
      <c r="H2" s="169"/>
      <c r="I2" s="169"/>
      <c r="J2" s="19"/>
    </row>
    <row r="3" spans="1:12" ht="13.9">
      <c r="A3" s="19" t="s">
        <v>17</v>
      </c>
      <c r="B3" s="21" t="s">
        <v>20</v>
      </c>
      <c r="C3" s="25"/>
      <c r="D3" s="25"/>
      <c r="E3" s="25"/>
      <c r="F3" s="25"/>
      <c r="G3" s="25"/>
      <c r="H3" s="25"/>
      <c r="I3" s="25"/>
      <c r="J3" s="21" t="s">
        <v>59</v>
      </c>
    </row>
    <row r="4" spans="1:12" ht="13.9">
      <c r="A4" s="26" t="s">
        <v>60</v>
      </c>
      <c r="B4" s="28" t="s">
        <v>61</v>
      </c>
      <c r="C4" s="28" t="s">
        <v>26</v>
      </c>
      <c r="D4" s="28" t="s">
        <v>27</v>
      </c>
      <c r="E4" s="30" t="s">
        <v>62</v>
      </c>
      <c r="F4" s="29"/>
      <c r="G4" s="28" t="s">
        <v>63</v>
      </c>
      <c r="H4" s="28" t="s">
        <v>64</v>
      </c>
      <c r="I4" s="28" t="s">
        <v>62</v>
      </c>
      <c r="J4" s="28" t="s">
        <v>65</v>
      </c>
    </row>
    <row r="5" spans="1:12" ht="14.45">
      <c r="A5" s="19"/>
      <c r="B5" s="170" t="s">
        <v>66</v>
      </c>
      <c r="C5" s="170"/>
      <c r="D5" s="170"/>
      <c r="E5" s="170"/>
      <c r="F5" s="170"/>
      <c r="G5" s="170"/>
      <c r="H5" s="170"/>
      <c r="I5" s="170"/>
      <c r="J5" s="170"/>
    </row>
    <row r="6" spans="1:12" ht="13.9">
      <c r="A6" s="19" t="s">
        <v>34</v>
      </c>
      <c r="B6" s="52">
        <v>341.33600000000001</v>
      </c>
      <c r="C6" s="53">
        <f>C23</f>
        <v>50564.716999999997</v>
      </c>
      <c r="D6" s="53">
        <f>D23</f>
        <v>784.46111611999993</v>
      </c>
      <c r="E6" s="37">
        <f>E23</f>
        <v>51690.514116120001</v>
      </c>
      <c r="F6" s="53"/>
      <c r="G6" s="53">
        <f>G23</f>
        <v>37674.379976930999</v>
      </c>
      <c r="H6" s="53">
        <f>H23</f>
        <v>13675.348139188998</v>
      </c>
      <c r="I6" s="53">
        <f>I23</f>
        <v>51349.728116120001</v>
      </c>
      <c r="J6" s="53">
        <f>J22</f>
        <v>340.786</v>
      </c>
    </row>
    <row r="7" spans="1:12" ht="16.149999999999999">
      <c r="A7" s="19" t="s">
        <v>35</v>
      </c>
      <c r="B7" s="52">
        <f>J6</f>
        <v>340.786</v>
      </c>
      <c r="C7" s="53">
        <v>51734</v>
      </c>
      <c r="D7" s="53">
        <v>625</v>
      </c>
      <c r="E7" s="37">
        <f>SUM(B7:D7)</f>
        <v>52699.786</v>
      </c>
      <c r="F7" s="53"/>
      <c r="G7" s="53">
        <v>38700</v>
      </c>
      <c r="H7" s="53">
        <v>13600</v>
      </c>
      <c r="I7" s="53">
        <f>E7-J7</f>
        <v>52299.786</v>
      </c>
      <c r="J7" s="53">
        <v>400</v>
      </c>
    </row>
    <row r="8" spans="1:12" ht="16.149999999999999">
      <c r="A8" s="19" t="s">
        <v>36</v>
      </c>
      <c r="B8" s="52">
        <f>J7</f>
        <v>400</v>
      </c>
      <c r="C8" s="53">
        <v>52350</v>
      </c>
      <c r="D8" s="53">
        <v>600</v>
      </c>
      <c r="E8" s="37">
        <f>SUM(B8:D8)</f>
        <v>53350</v>
      </c>
      <c r="F8" s="53"/>
      <c r="G8" s="53">
        <v>39200</v>
      </c>
      <c r="H8" s="53">
        <v>13700</v>
      </c>
      <c r="I8" s="53">
        <f>E8-J8</f>
        <v>52900</v>
      </c>
      <c r="J8" s="53">
        <v>450</v>
      </c>
    </row>
    <row r="9" spans="1:12" ht="13.9">
      <c r="A9" s="19"/>
      <c r="B9" s="54"/>
      <c r="C9" s="54"/>
      <c r="D9" s="54"/>
      <c r="E9" s="54"/>
      <c r="F9" s="54"/>
      <c r="G9" s="53"/>
      <c r="H9" s="54"/>
      <c r="I9" s="54"/>
      <c r="J9" s="54"/>
    </row>
    <row r="10" spans="1:12" ht="13.9">
      <c r="A10" s="55" t="s">
        <v>34</v>
      </c>
      <c r="B10" s="56"/>
      <c r="C10" s="7"/>
      <c r="D10" s="7"/>
      <c r="E10" s="7"/>
      <c r="F10" s="7"/>
      <c r="G10" s="7"/>
      <c r="H10" s="7"/>
      <c r="I10" s="7"/>
      <c r="J10" s="7"/>
    </row>
    <row r="11" spans="1:12" ht="14.45">
      <c r="A11" s="23" t="s">
        <v>38</v>
      </c>
      <c r="B11" s="56">
        <v>341.33600000000001</v>
      </c>
      <c r="C11" s="7">
        <v>4615.5919999999996</v>
      </c>
      <c r="D11" s="7">
        <f>(63195.1*1.10231)/1000</f>
        <v>69.660590680999988</v>
      </c>
      <c r="E11" s="7">
        <f t="shared" ref="E11:E17" si="0">SUM(B11:D11)</f>
        <v>5026.5885906809999</v>
      </c>
      <c r="F11" s="6"/>
      <c r="G11" s="5">
        <f t="shared" ref="G11:G17" si="1">I11-H11</f>
        <v>3544.4687225500002</v>
      </c>
      <c r="H11" s="7">
        <f>(1005090.1*1.10231)/1000</f>
        <v>1107.9208681309999</v>
      </c>
      <c r="I11" s="6">
        <f t="shared" ref="I11:I17" si="2">E11-J11</f>
        <v>4652.3895906810003</v>
      </c>
      <c r="J11" s="6">
        <v>374.19900000000001</v>
      </c>
      <c r="K11" s="128"/>
      <c r="L11" s="141"/>
    </row>
    <row r="12" spans="1:12" ht="14.45">
      <c r="A12" s="23" t="s">
        <v>39</v>
      </c>
      <c r="B12" s="56">
        <f t="shared" ref="B12:B17" si="3">J11</f>
        <v>374.19900000000001</v>
      </c>
      <c r="C12" s="7">
        <v>4516.2939999999999</v>
      </c>
      <c r="D12" s="7">
        <f>(61179.8*1.10231)/1000</f>
        <v>67.43910533799999</v>
      </c>
      <c r="E12" s="7">
        <f t="shared" si="0"/>
        <v>4957.932105337999</v>
      </c>
      <c r="F12" s="6"/>
      <c r="G12" s="5">
        <f t="shared" si="1"/>
        <v>3222.3227419899986</v>
      </c>
      <c r="H12" s="7">
        <f>(1158650.8*1.10231)/1000</f>
        <v>1277.1923633480001</v>
      </c>
      <c r="I12" s="6">
        <f t="shared" si="2"/>
        <v>4499.5151053379986</v>
      </c>
      <c r="J12" s="6">
        <v>458.41699999999997</v>
      </c>
      <c r="K12" s="128"/>
      <c r="L12" s="141"/>
    </row>
    <row r="13" spans="1:12" ht="14.45">
      <c r="A13" s="23" t="s">
        <v>41</v>
      </c>
      <c r="B13" s="56">
        <f t="shared" si="3"/>
        <v>458.41699999999997</v>
      </c>
      <c r="C13" s="7">
        <v>4540.9309999999996</v>
      </c>
      <c r="D13" s="7">
        <f>(58497.8*1.10231)/1000</f>
        <v>64.482709917999998</v>
      </c>
      <c r="E13" s="7">
        <f t="shared" si="0"/>
        <v>5063.8307099180001</v>
      </c>
      <c r="F13" s="6"/>
      <c r="G13" s="5">
        <f t="shared" si="1"/>
        <v>3255.1817001230002</v>
      </c>
      <c r="H13" s="7">
        <f>(1314744.5*1.10231)/1000</f>
        <v>1449.256009795</v>
      </c>
      <c r="I13" s="6">
        <f t="shared" si="2"/>
        <v>4704.4377099180001</v>
      </c>
      <c r="J13" s="6">
        <v>359.39299999999997</v>
      </c>
      <c r="K13" s="128"/>
      <c r="L13" s="141"/>
    </row>
    <row r="14" spans="1:12" ht="14.45">
      <c r="A14" s="23" t="s">
        <v>42</v>
      </c>
      <c r="B14" s="56">
        <f t="shared" si="3"/>
        <v>359.39299999999997</v>
      </c>
      <c r="C14" s="7">
        <v>4665.6540000000005</v>
      </c>
      <c r="D14" s="7">
        <f>(62047.8*1.10231)/1000</f>
        <v>68.395910418</v>
      </c>
      <c r="E14" s="7">
        <f t="shared" si="0"/>
        <v>5093.4429104180008</v>
      </c>
      <c r="F14" s="6"/>
      <c r="G14" s="5">
        <f t="shared" si="1"/>
        <v>3127.8642276620008</v>
      </c>
      <c r="H14" s="7">
        <f>(1278927.6*1.10231)/1000</f>
        <v>1409.7746827559999</v>
      </c>
      <c r="I14" s="6">
        <f t="shared" si="2"/>
        <v>4537.6389104180007</v>
      </c>
      <c r="J14" s="6">
        <v>555.80399999999997</v>
      </c>
      <c r="K14" s="128"/>
      <c r="L14" s="141"/>
    </row>
    <row r="15" spans="1:12" ht="14.45">
      <c r="A15" s="23" t="s">
        <v>43</v>
      </c>
      <c r="B15" s="56">
        <f t="shared" si="3"/>
        <v>555.80399999999997</v>
      </c>
      <c r="C15" s="7">
        <v>3918.6709999999998</v>
      </c>
      <c r="D15" s="7">
        <f>(60890.6*1.10231)/1000</f>
        <v>67.120317285999988</v>
      </c>
      <c r="E15" s="7">
        <f t="shared" si="0"/>
        <v>4541.595317285999</v>
      </c>
      <c r="F15" s="6"/>
      <c r="G15" s="5">
        <f t="shared" si="1"/>
        <v>2672.9096129209993</v>
      </c>
      <c r="H15" s="7">
        <f>(1165391.5*1.10231)/1000</f>
        <v>1284.6227043649999</v>
      </c>
      <c r="I15" s="6">
        <f t="shared" si="2"/>
        <v>3957.5323172859989</v>
      </c>
      <c r="J15" s="6">
        <v>584.06299999999999</v>
      </c>
      <c r="K15" s="128"/>
      <c r="L15" s="141"/>
    </row>
    <row r="16" spans="1:12" ht="14.45">
      <c r="A16" s="23" t="s">
        <v>45</v>
      </c>
      <c r="B16" s="56">
        <f t="shared" si="3"/>
        <v>584.06299999999999</v>
      </c>
      <c r="C16" s="7">
        <v>4476.5870000000004</v>
      </c>
      <c r="D16" s="7">
        <f>(66438.8*1.10231)/1000</f>
        <v>73.236153627999997</v>
      </c>
      <c r="E16" s="7">
        <f t="shared" si="0"/>
        <v>5133.8861536280001</v>
      </c>
      <c r="F16" s="6"/>
      <c r="G16" s="5">
        <f t="shared" si="1"/>
        <v>3372.0660884400004</v>
      </c>
      <c r="H16" s="7">
        <f>(1192114.8*1.10231)/1000</f>
        <v>1314.0800651879999</v>
      </c>
      <c r="I16" s="6">
        <f t="shared" si="2"/>
        <v>4686.1461536280003</v>
      </c>
      <c r="J16" s="6">
        <v>447.74</v>
      </c>
      <c r="K16" s="128"/>
      <c r="L16" s="141"/>
    </row>
    <row r="17" spans="1:12" ht="14.45">
      <c r="A17" s="23" t="s">
        <v>46</v>
      </c>
      <c r="B17" s="56">
        <f t="shared" si="3"/>
        <v>447.74</v>
      </c>
      <c r="C17" s="7">
        <v>4044.7089999999998</v>
      </c>
      <c r="D17" s="7">
        <f>(61752.3*1.10231)/1000</f>
        <v>68.070177813000001</v>
      </c>
      <c r="E17" s="7">
        <f t="shared" si="0"/>
        <v>4560.5191778129993</v>
      </c>
      <c r="F17" s="6"/>
      <c r="G17" s="5">
        <f t="shared" si="1"/>
        <v>3053.2937507819988</v>
      </c>
      <c r="H17" s="7">
        <f>(957280.1*1.10231)/1000</f>
        <v>1055.2194270309999</v>
      </c>
      <c r="I17" s="6">
        <f t="shared" si="2"/>
        <v>4108.5131778129989</v>
      </c>
      <c r="J17" s="6">
        <v>452.00599999999997</v>
      </c>
      <c r="K17" s="128"/>
      <c r="L17" s="141"/>
    </row>
    <row r="18" spans="1:12" ht="14.45">
      <c r="A18" s="23" t="s">
        <v>47</v>
      </c>
      <c r="B18" s="56">
        <f t="shared" ref="B18" si="4">J17</f>
        <v>452.00599999999997</v>
      </c>
      <c r="C18" s="7">
        <v>4122.884</v>
      </c>
      <c r="D18" s="7">
        <f>(59445.5*1.10231)/1000</f>
        <v>65.527369104999991</v>
      </c>
      <c r="E18" s="7">
        <f>SUM(B18:D18)</f>
        <v>4640.417369105</v>
      </c>
      <c r="F18" s="6"/>
      <c r="G18" s="5">
        <f t="shared" ref="G18:G22" si="5">I18-H18</f>
        <v>2945.1746302230003</v>
      </c>
      <c r="H18" s="7">
        <f>(955982.2*1.10231)/1000</f>
        <v>1053.788738882</v>
      </c>
      <c r="I18" s="6">
        <f>E18-J18</f>
        <v>3998.9633691050003</v>
      </c>
      <c r="J18" s="6">
        <v>641.45399999999995</v>
      </c>
      <c r="K18" s="128"/>
      <c r="L18" s="141"/>
    </row>
    <row r="19" spans="1:12" ht="14.45">
      <c r="A19" s="23" t="s">
        <v>49</v>
      </c>
      <c r="B19" s="56">
        <f>J18</f>
        <v>641.45399999999995</v>
      </c>
      <c r="C19" s="7">
        <v>3833.951</v>
      </c>
      <c r="D19" s="7">
        <f>(57660*1.10231)/1000</f>
        <v>63.559194599999998</v>
      </c>
      <c r="E19" s="7">
        <f>SUM(B19:D19)</f>
        <v>4538.9641946000002</v>
      </c>
      <c r="F19" s="6"/>
      <c r="G19" s="5">
        <f t="shared" si="5"/>
        <v>3229.4212654980001</v>
      </c>
      <c r="H19" s="7">
        <f>(789744.2*1.10231)/1000</f>
        <v>870.5429291019999</v>
      </c>
      <c r="I19" s="6">
        <f>E19-J19</f>
        <v>4099.9641946000002</v>
      </c>
      <c r="J19" s="6">
        <v>439</v>
      </c>
      <c r="K19" s="128"/>
      <c r="L19" s="141"/>
    </row>
    <row r="20" spans="1:12" ht="14.45">
      <c r="A20" s="23" t="s">
        <v>50</v>
      </c>
      <c r="B20" s="56">
        <f>J19</f>
        <v>439</v>
      </c>
      <c r="C20" s="7">
        <v>3966.4989999999998</v>
      </c>
      <c r="D20" s="7">
        <f>(80443.6*1.10231)/1000</f>
        <v>88.673784716</v>
      </c>
      <c r="E20" s="7">
        <f>SUM(B20:D20)</f>
        <v>4494.172784716</v>
      </c>
      <c r="F20" s="6"/>
      <c r="G20" s="5">
        <f t="shared" si="5"/>
        <v>2937.5170743940002</v>
      </c>
      <c r="H20" s="7">
        <f>(979606.2*1.10231)/1000</f>
        <v>1079.8297103219998</v>
      </c>
      <c r="I20" s="6">
        <f>E20-J20</f>
        <v>4017.346784716</v>
      </c>
      <c r="J20" s="6">
        <v>476.82600000000002</v>
      </c>
      <c r="K20" s="128"/>
      <c r="L20" s="141"/>
    </row>
    <row r="21" spans="1:12" ht="14.45">
      <c r="A21" s="23" t="s">
        <v>51</v>
      </c>
      <c r="B21" s="56">
        <f>J20</f>
        <v>476.82600000000002</v>
      </c>
      <c r="C21" s="7">
        <v>3995.2939999999999</v>
      </c>
      <c r="D21" s="7">
        <f>(42842.6*1.10231)/1000</f>
        <v>47.225826405999996</v>
      </c>
      <c r="E21" s="7">
        <f>SUM(B21:D21)</f>
        <v>4519.345826406</v>
      </c>
      <c r="F21" s="6"/>
      <c r="G21" s="5">
        <f t="shared" si="5"/>
        <v>3202.4835883550004</v>
      </c>
      <c r="H21" s="7">
        <f>(846722.1*1.10231)/1000</f>
        <v>933.35023805099991</v>
      </c>
      <c r="I21" s="6">
        <f>E21-J21</f>
        <v>4135.8338264060003</v>
      </c>
      <c r="J21" s="6">
        <v>383.512</v>
      </c>
      <c r="K21" s="128"/>
      <c r="L21" s="141"/>
    </row>
    <row r="22" spans="1:12" ht="14.45">
      <c r="A22" s="23" t="s">
        <v>37</v>
      </c>
      <c r="B22" s="56">
        <f>J21</f>
        <v>383.512</v>
      </c>
      <c r="C22" s="7">
        <v>3867.6509999999998</v>
      </c>
      <c r="D22" s="7">
        <f>(37258.1*1.10231)/1000</f>
        <v>41.069976210999997</v>
      </c>
      <c r="E22" s="7">
        <f>SUM(B22:D22)</f>
        <v>4292.2329762109994</v>
      </c>
      <c r="F22" s="6"/>
      <c r="G22" s="5">
        <f t="shared" si="5"/>
        <v>3111.6765739929992</v>
      </c>
      <c r="H22" s="7">
        <f>(761827.8*1.10231)/1000</f>
        <v>839.77040221800007</v>
      </c>
      <c r="I22" s="6">
        <f>E22-J22</f>
        <v>3951.4469762109993</v>
      </c>
      <c r="J22" s="6">
        <v>340.786</v>
      </c>
      <c r="K22" s="128"/>
      <c r="L22" s="141"/>
    </row>
    <row r="23" spans="1:12" ht="13.9">
      <c r="A23" s="23" t="s">
        <v>28</v>
      </c>
      <c r="B23" s="56"/>
      <c r="C23" s="7">
        <f>SUM(C11:C22)</f>
        <v>50564.716999999997</v>
      </c>
      <c r="D23" s="7">
        <f>SUM(D11:D22)</f>
        <v>784.46111611999993</v>
      </c>
      <c r="E23" s="7">
        <f>B11+C23+D23</f>
        <v>51690.514116120001</v>
      </c>
      <c r="F23" s="7"/>
      <c r="G23" s="7">
        <f>SUM(G11:G22)</f>
        <v>37674.379976930999</v>
      </c>
      <c r="H23" s="7">
        <f>SUM(H11:H22)</f>
        <v>13675.348139188998</v>
      </c>
      <c r="I23" s="7">
        <f>SUM(I11:I22)</f>
        <v>51349.728116120001</v>
      </c>
      <c r="J23" s="7"/>
    </row>
    <row r="24" spans="1:12" ht="13.9">
      <c r="A24" s="23"/>
      <c r="B24" s="56"/>
      <c r="C24" s="7"/>
      <c r="D24" s="7"/>
      <c r="E24" s="7"/>
      <c r="F24" s="7"/>
      <c r="G24" s="7"/>
      <c r="H24" s="7"/>
      <c r="I24" s="7"/>
      <c r="J24" s="7"/>
    </row>
    <row r="25" spans="1:12" ht="13.9">
      <c r="A25" s="55" t="s">
        <v>53</v>
      </c>
      <c r="B25" s="56"/>
      <c r="C25" s="7"/>
      <c r="D25" s="7"/>
      <c r="E25" s="7"/>
      <c r="F25" s="7"/>
      <c r="G25" s="7"/>
      <c r="H25" s="7"/>
      <c r="I25" s="7"/>
      <c r="J25" s="7"/>
    </row>
    <row r="26" spans="1:12" ht="14.45">
      <c r="A26" s="23" t="s">
        <v>38</v>
      </c>
      <c r="B26" s="56">
        <f>J22</f>
        <v>340.786</v>
      </c>
      <c r="C26" s="7">
        <v>4591.6390000000001</v>
      </c>
      <c r="D26" s="7">
        <f>(56544.8*1.10231)/1000</f>
        <v>62.329898487999998</v>
      </c>
      <c r="E26" s="7">
        <f t="shared" ref="E26:E35" si="6">SUM(B26:D26)</f>
        <v>4994.7548984880004</v>
      </c>
      <c r="F26" s="7"/>
      <c r="G26" s="7">
        <f t="shared" ref="G26:G35" si="7">I26-H26</f>
        <v>3492.8235415470008</v>
      </c>
      <c r="H26" s="7">
        <f>(989241.1*1.10231)/1000</f>
        <v>1090.4503569409999</v>
      </c>
      <c r="I26" s="6">
        <f t="shared" ref="I26:I35" si="8">E26-J26</f>
        <v>4583.2738984880007</v>
      </c>
      <c r="J26" s="7">
        <v>411.48099999999999</v>
      </c>
      <c r="K26" s="128"/>
      <c r="L26" s="141"/>
    </row>
    <row r="27" spans="1:12" ht="14.45">
      <c r="A27" s="23" t="s">
        <v>39</v>
      </c>
      <c r="B27" s="56">
        <f t="shared" ref="B27:B35" si="9">J26</f>
        <v>411.48099999999999</v>
      </c>
      <c r="C27" s="7">
        <v>4456.7700000000004</v>
      </c>
      <c r="D27" s="7">
        <f>(33725.3*1.10231)/1000</f>
        <v>37.175735443000001</v>
      </c>
      <c r="E27" s="7">
        <f t="shared" si="6"/>
        <v>4905.4267354430003</v>
      </c>
      <c r="F27" s="7"/>
      <c r="G27" s="7">
        <f t="shared" si="7"/>
        <v>3282.1204081570004</v>
      </c>
      <c r="H27" s="7">
        <f>(1131890.6*1.10231)/1000</f>
        <v>1247.6943272859999</v>
      </c>
      <c r="I27" s="6">
        <f t="shared" si="8"/>
        <v>4529.8147354430002</v>
      </c>
      <c r="J27" s="7">
        <v>375.61200000000002</v>
      </c>
      <c r="K27" s="128"/>
      <c r="L27" s="141"/>
    </row>
    <row r="28" spans="1:12" ht="14.45">
      <c r="A28" s="23" t="s">
        <v>41</v>
      </c>
      <c r="B28" s="56">
        <f t="shared" si="9"/>
        <v>375.61200000000002</v>
      </c>
      <c r="C28" s="7">
        <v>4629.5519999999997</v>
      </c>
      <c r="D28" s="7">
        <f>(33571.6*1.10231)/1000</f>
        <v>37.006310395999996</v>
      </c>
      <c r="E28" s="7">
        <f t="shared" si="6"/>
        <v>5042.1703103959999</v>
      </c>
      <c r="F28" s="7"/>
      <c r="G28" s="7">
        <f t="shared" si="7"/>
        <v>3224.487584683</v>
      </c>
      <c r="H28" s="7">
        <f>(1275842.3*1.10231)/1000</f>
        <v>1406.3737257129999</v>
      </c>
      <c r="I28" s="6">
        <f t="shared" si="8"/>
        <v>4630.8613103959997</v>
      </c>
      <c r="J28" s="7">
        <v>411.30900000000003</v>
      </c>
      <c r="K28" s="128"/>
      <c r="L28" s="141"/>
    </row>
    <row r="29" spans="1:12" ht="14.45">
      <c r="A29" s="23" t="s">
        <v>42</v>
      </c>
      <c r="B29" s="56">
        <f t="shared" si="9"/>
        <v>411.30900000000003</v>
      </c>
      <c r="C29" s="7">
        <v>4533.1530000000002</v>
      </c>
      <c r="D29" s="7">
        <f>(40167.4*1.10231)/1000</f>
        <v>44.276926693999997</v>
      </c>
      <c r="E29" s="7">
        <f t="shared" si="6"/>
        <v>4988.7389266940008</v>
      </c>
      <c r="F29" s="7"/>
      <c r="G29" s="7">
        <f t="shared" si="7"/>
        <v>3259.9617703520012</v>
      </c>
      <c r="H29" s="7">
        <f>(1177548.2*1.10231)/1000</f>
        <v>1298.0231563419998</v>
      </c>
      <c r="I29" s="6">
        <f t="shared" si="8"/>
        <v>4557.9849266940009</v>
      </c>
      <c r="J29" s="7">
        <v>430.75400000000002</v>
      </c>
      <c r="K29" s="128"/>
      <c r="L29" s="141"/>
    </row>
    <row r="30" spans="1:12" ht="14.45">
      <c r="A30" s="23" t="s">
        <v>43</v>
      </c>
      <c r="B30" s="56">
        <f t="shared" si="9"/>
        <v>430.75400000000002</v>
      </c>
      <c r="C30" s="7">
        <v>4089.9549999999999</v>
      </c>
      <c r="D30" s="7">
        <f>(46777.6*1.10231)/1000</f>
        <v>51.563416255999996</v>
      </c>
      <c r="E30" s="7">
        <f t="shared" si="6"/>
        <v>4572.2724162559998</v>
      </c>
      <c r="F30" s="7"/>
      <c r="G30" s="7">
        <f t="shared" si="7"/>
        <v>3104.2082034579998</v>
      </c>
      <c r="H30" s="7">
        <f>(981745.8*1.10231)/1000</f>
        <v>1082.1882127979998</v>
      </c>
      <c r="I30" s="6">
        <f t="shared" si="8"/>
        <v>4186.3964162559996</v>
      </c>
      <c r="J30" s="7">
        <v>385.87599999999998</v>
      </c>
      <c r="K30" s="128"/>
      <c r="L30" s="141"/>
    </row>
    <row r="31" spans="1:12" ht="14.45">
      <c r="A31" s="23" t="s">
        <v>45</v>
      </c>
      <c r="B31" s="56">
        <f t="shared" si="9"/>
        <v>385.87599999999998</v>
      </c>
      <c r="C31" s="7">
        <v>4549.6310000000003</v>
      </c>
      <c r="D31" s="7">
        <f>(36598.4*1.10231)/1000</f>
        <v>40.342782304000004</v>
      </c>
      <c r="E31" s="7">
        <f t="shared" si="6"/>
        <v>4975.8497823040007</v>
      </c>
      <c r="F31" s="7"/>
      <c r="G31" s="7">
        <f t="shared" si="7"/>
        <v>3397.5364563470011</v>
      </c>
      <c r="H31" s="7">
        <f>(1086214.7*1.10231)/1000</f>
        <v>1197.3453259569999</v>
      </c>
      <c r="I31" s="6">
        <f t="shared" si="8"/>
        <v>4594.8817823040008</v>
      </c>
      <c r="J31" s="7">
        <v>380.96800000000002</v>
      </c>
      <c r="K31" s="128"/>
      <c r="L31" s="141"/>
    </row>
    <row r="32" spans="1:12" ht="14.45">
      <c r="A32" s="23" t="s">
        <v>46</v>
      </c>
      <c r="B32" s="56">
        <f t="shared" si="9"/>
        <v>380.96800000000002</v>
      </c>
      <c r="C32" s="7">
        <v>4254.5450000000001</v>
      </c>
      <c r="D32" s="7">
        <f>(55089.9*1.10231)/1000</f>
        <v>60.726147668999999</v>
      </c>
      <c r="E32" s="7">
        <f t="shared" si="6"/>
        <v>4696.239147669</v>
      </c>
      <c r="F32" s="7"/>
      <c r="G32" s="7">
        <f t="shared" si="7"/>
        <v>3065.5731103500002</v>
      </c>
      <c r="H32" s="7">
        <f>(1075604.9*1.10231)/1000</f>
        <v>1185.6500373189999</v>
      </c>
      <c r="I32" s="6">
        <f t="shared" si="8"/>
        <v>4251.2231476690004</v>
      </c>
      <c r="J32" s="7">
        <v>445.01600000000002</v>
      </c>
      <c r="K32" s="128"/>
      <c r="L32" s="141"/>
    </row>
    <row r="33" spans="1:12" ht="14.45">
      <c r="A33" s="23" t="s">
        <v>47</v>
      </c>
      <c r="B33" s="56">
        <f t="shared" si="9"/>
        <v>445.01600000000002</v>
      </c>
      <c r="C33" s="7">
        <v>4260.0889999999999</v>
      </c>
      <c r="D33" s="143">
        <f>(66198.8*1.10231)/1000</f>
        <v>72.971599227999988</v>
      </c>
      <c r="E33" s="7">
        <f t="shared" si="6"/>
        <v>4778.0765992279994</v>
      </c>
      <c r="F33" s="7"/>
      <c r="G33" s="7">
        <f t="shared" si="7"/>
        <v>3171.9378907949995</v>
      </c>
      <c r="H33" s="143">
        <f>(1036354.3*1.10231)/1000</f>
        <v>1142.3837084329998</v>
      </c>
      <c r="I33" s="6">
        <f t="shared" si="8"/>
        <v>4314.3215992279993</v>
      </c>
      <c r="J33" s="7">
        <v>463.755</v>
      </c>
      <c r="K33" s="128"/>
      <c r="L33" s="141"/>
    </row>
    <row r="34" spans="1:12" ht="14.45">
      <c r="A34" s="23" t="s">
        <v>49</v>
      </c>
      <c r="B34" s="56">
        <f t="shared" si="9"/>
        <v>463.755</v>
      </c>
      <c r="C34" s="7">
        <v>4106.5650000000005</v>
      </c>
      <c r="D34" s="143">
        <f>(56052.6*1.10231)/1000</f>
        <v>61.78734150599999</v>
      </c>
      <c r="E34" s="7">
        <f t="shared" si="6"/>
        <v>4632.1073415060009</v>
      </c>
      <c r="F34" s="7"/>
      <c r="G34" s="7">
        <f t="shared" si="7"/>
        <v>3129.3458416380008</v>
      </c>
      <c r="H34" s="143">
        <f>(1039142.8*1.10231)/1000</f>
        <v>1145.457499868</v>
      </c>
      <c r="I34" s="6">
        <f t="shared" si="8"/>
        <v>4274.8033415060008</v>
      </c>
      <c r="J34" s="7">
        <v>357.30399999999997</v>
      </c>
      <c r="K34" s="128"/>
      <c r="L34"/>
    </row>
    <row r="35" spans="1:12" ht="14.45">
      <c r="A35" s="17" t="s">
        <v>50</v>
      </c>
      <c r="B35" s="57">
        <f t="shared" si="9"/>
        <v>357.30399999999997</v>
      </c>
      <c r="C35" s="48">
        <v>4266.3760000000002</v>
      </c>
      <c r="D35" s="142">
        <f>(67390*1.10231)/1000</f>
        <v>74.284670899999995</v>
      </c>
      <c r="E35" s="48">
        <f t="shared" si="6"/>
        <v>4697.9646708999999</v>
      </c>
      <c r="F35" s="48"/>
      <c r="G35" s="48">
        <f t="shared" si="7"/>
        <v>3259.8698691549998</v>
      </c>
      <c r="H35" s="142">
        <f>(829589.5*1.10231)/1000</f>
        <v>914.46480174499993</v>
      </c>
      <c r="I35" s="64">
        <f t="shared" si="8"/>
        <v>4174.3346708999998</v>
      </c>
      <c r="J35" s="48">
        <v>523.63</v>
      </c>
      <c r="K35" s="128"/>
      <c r="L35"/>
    </row>
    <row r="36" spans="1:12" ht="16.149999999999999">
      <c r="A36" s="58" t="s">
        <v>67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2" ht="14.45">
      <c r="A37" s="19" t="s">
        <v>68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2" ht="13.9">
      <c r="A38" s="25" t="s">
        <v>56</v>
      </c>
      <c r="B38" s="50">
        <f ca="1">NOW()</f>
        <v>44818.289790162038</v>
      </c>
      <c r="C38" s="44"/>
      <c r="D38" s="38"/>
      <c r="E38" s="38"/>
      <c r="F38" s="38"/>
      <c r="G38" s="38"/>
      <c r="H38" s="38"/>
      <c r="I38" s="38"/>
      <c r="J38" s="38"/>
    </row>
    <row r="39" spans="1:12">
      <c r="A39" s="59"/>
      <c r="B39" s="60"/>
      <c r="C39" s="61"/>
      <c r="D39" s="60"/>
      <c r="E39" s="120"/>
      <c r="F39" s="60"/>
      <c r="G39" s="60"/>
      <c r="H39" s="62"/>
      <c r="I39" s="120"/>
      <c r="J39" s="60"/>
    </row>
    <row r="40" spans="1:12">
      <c r="A40" s="59"/>
      <c r="B40" s="60"/>
      <c r="C40" s="60"/>
      <c r="D40" s="60"/>
      <c r="E40" s="60"/>
      <c r="F40" s="60"/>
      <c r="G40" s="60"/>
      <c r="H40" s="60"/>
      <c r="I40" s="60"/>
      <c r="J40" s="60"/>
    </row>
    <row r="41" spans="1:12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2">
      <c r="A42" s="59"/>
      <c r="B42" s="59"/>
      <c r="C42" s="59"/>
      <c r="D42" s="59"/>
      <c r="E42" s="59"/>
      <c r="F42" s="59"/>
      <c r="G42" s="59"/>
      <c r="H42" s="59"/>
      <c r="I42" s="59"/>
      <c r="J42" s="59"/>
    </row>
  </sheetData>
  <mergeCells count="3">
    <mergeCell ref="G2:I2"/>
    <mergeCell ref="B5:J5"/>
    <mergeCell ref="B2:E2"/>
  </mergeCells>
  <phoneticPr fontId="13" type="noConversion"/>
  <pageMargins left="0.75" right="0.75" top="1" bottom="1" header="0.5" footer="0.5"/>
  <pageSetup scale="8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9"/>
  <sheetViews>
    <sheetView showGridLines="0" zoomScale="70" zoomScaleNormal="70" workbookViewId="0"/>
  </sheetViews>
  <sheetFormatPr defaultColWidth="9.140625" defaultRowHeight="13.15"/>
  <cols>
    <col min="1" max="1" width="15.42578125" style="18" customWidth="1"/>
    <col min="2" max="2" width="12.28515625" style="18" bestFit="1" customWidth="1"/>
    <col min="3" max="3" width="12.140625" style="18" bestFit="1" customWidth="1"/>
    <col min="4" max="4" width="11" style="18" bestFit="1" customWidth="1"/>
    <col min="5" max="5" width="11.28515625" style="18" bestFit="1" customWidth="1"/>
    <col min="6" max="6" width="3.7109375" style="18" customWidth="1"/>
    <col min="7" max="7" width="11.5703125" style="18" bestFit="1" customWidth="1"/>
    <col min="8" max="8" width="10.7109375" style="18" customWidth="1"/>
    <col min="9" max="9" width="12.7109375" style="18" customWidth="1"/>
    <col min="10" max="10" width="9.7109375" style="18" bestFit="1" customWidth="1"/>
    <col min="11" max="11" width="11.5703125" style="18" bestFit="1" customWidth="1"/>
    <col min="12" max="12" width="12.5703125" style="18" bestFit="1" customWidth="1"/>
    <col min="13" max="13" width="9.140625" style="18"/>
    <col min="14" max="14" width="11.140625" style="18" customWidth="1"/>
    <col min="15" max="16384" width="9.140625" style="18"/>
  </cols>
  <sheetData>
    <row r="1" spans="1:14" ht="13.9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13.9">
      <c r="A2" s="19"/>
      <c r="B2" s="169" t="s">
        <v>57</v>
      </c>
      <c r="C2" s="169"/>
      <c r="D2" s="169"/>
      <c r="E2" s="169"/>
      <c r="F2" s="23"/>
      <c r="G2" s="169" t="s">
        <v>58</v>
      </c>
      <c r="H2" s="169"/>
      <c r="I2" s="169"/>
      <c r="J2" s="167"/>
      <c r="K2" s="167"/>
      <c r="L2" s="19"/>
    </row>
    <row r="3" spans="1:14" ht="13.9">
      <c r="A3" s="19" t="s">
        <v>17</v>
      </c>
      <c r="B3" s="21" t="s">
        <v>69</v>
      </c>
      <c r="C3" s="40" t="s">
        <v>26</v>
      </c>
      <c r="D3" s="40" t="s">
        <v>70</v>
      </c>
      <c r="E3" s="40" t="s">
        <v>62</v>
      </c>
      <c r="F3" s="40"/>
      <c r="G3" s="167" t="s">
        <v>63</v>
      </c>
      <c r="H3" s="167"/>
      <c r="I3" s="167"/>
      <c r="J3" s="40" t="s">
        <v>71</v>
      </c>
      <c r="K3" s="40" t="s">
        <v>62</v>
      </c>
      <c r="L3" s="40" t="s">
        <v>59</v>
      </c>
    </row>
    <row r="4" spans="1:14" ht="16.149999999999999">
      <c r="A4" s="26" t="s">
        <v>60</v>
      </c>
      <c r="B4" s="28" t="s">
        <v>61</v>
      </c>
      <c r="C4" s="29"/>
      <c r="D4" s="29"/>
      <c r="E4" s="29"/>
      <c r="F4" s="29"/>
      <c r="G4" s="28" t="s">
        <v>28</v>
      </c>
      <c r="H4" s="28" t="s">
        <v>72</v>
      </c>
      <c r="I4" s="28" t="s">
        <v>73</v>
      </c>
      <c r="J4" s="29"/>
      <c r="K4" s="29"/>
      <c r="L4" s="40" t="s">
        <v>65</v>
      </c>
    </row>
    <row r="5" spans="1:14" ht="14.45">
      <c r="A5" s="19"/>
      <c r="B5" s="171" t="s">
        <v>74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4" ht="13.9">
      <c r="A6" s="19" t="s">
        <v>34</v>
      </c>
      <c r="B6" s="54">
        <v>1852.675</v>
      </c>
      <c r="C6" s="54">
        <f>C23</f>
        <v>25022.667000000001</v>
      </c>
      <c r="D6" s="54">
        <f>D23</f>
        <v>301.5817074144</v>
      </c>
      <c r="E6" s="54">
        <f>E23</f>
        <v>27176.9237074144</v>
      </c>
      <c r="F6" s="54"/>
      <c r="G6" s="54">
        <f>G23</f>
        <v>23314.331825683603</v>
      </c>
      <c r="H6" s="54">
        <f t="shared" ref="H6:J6" si="0">H23</f>
        <v>8920.4621000000006</v>
      </c>
      <c r="I6" s="37">
        <f t="shared" si="0"/>
        <v>14393.8697256836</v>
      </c>
      <c r="J6" s="54">
        <f t="shared" si="0"/>
        <v>1731.3588817307998</v>
      </c>
      <c r="K6" s="54">
        <f>E6-L6</f>
        <v>25045.6907074144</v>
      </c>
      <c r="L6" s="54">
        <f>L22</f>
        <v>2131.2330000000002</v>
      </c>
      <c r="M6" s="115"/>
    </row>
    <row r="7" spans="1:14" ht="16.149999999999999">
      <c r="A7" s="19" t="s">
        <v>35</v>
      </c>
      <c r="B7" s="54">
        <f>L6</f>
        <v>2131.2330000000002</v>
      </c>
      <c r="C7" s="54">
        <v>26105</v>
      </c>
      <c r="D7" s="54">
        <v>325</v>
      </c>
      <c r="E7" s="54">
        <f>SUM(B7:D7)</f>
        <v>28561.233</v>
      </c>
      <c r="F7" s="54"/>
      <c r="G7" s="54">
        <f>K7-J7</f>
        <v>24635</v>
      </c>
      <c r="H7" s="54">
        <v>10200</v>
      </c>
      <c r="I7" s="37">
        <f>G7-H7</f>
        <v>14435</v>
      </c>
      <c r="J7" s="54">
        <v>1775</v>
      </c>
      <c r="K7" s="54">
        <f>E7-L7</f>
        <v>26410</v>
      </c>
      <c r="L7" s="54">
        <v>2151.2330000000002</v>
      </c>
    </row>
    <row r="8" spans="1:14" ht="16.149999999999999">
      <c r="A8" s="19" t="s">
        <v>36</v>
      </c>
      <c r="B8" s="54">
        <f>L7</f>
        <v>2151.2330000000002</v>
      </c>
      <c r="C8" s="54">
        <v>26075</v>
      </c>
      <c r="D8" s="54">
        <v>500</v>
      </c>
      <c r="E8" s="54">
        <f>SUM(B8:D8)</f>
        <v>28726.233</v>
      </c>
      <c r="F8" s="54"/>
      <c r="G8" s="54">
        <f>K8-J8</f>
        <v>25500.233</v>
      </c>
      <c r="H8" s="54">
        <v>11800</v>
      </c>
      <c r="I8" s="37">
        <f>G8-H8</f>
        <v>13700.233</v>
      </c>
      <c r="J8" s="54">
        <v>1400</v>
      </c>
      <c r="K8" s="54">
        <f>E8-L8</f>
        <v>26900.233</v>
      </c>
      <c r="L8" s="54">
        <v>1826</v>
      </c>
    </row>
    <row r="9" spans="1:14" ht="13.9">
      <c r="A9" s="19"/>
      <c r="B9" s="54"/>
      <c r="C9" s="54"/>
      <c r="D9" s="54"/>
      <c r="E9" s="54"/>
      <c r="F9" s="54"/>
      <c r="G9" s="54"/>
      <c r="H9" s="54"/>
      <c r="I9" s="116"/>
      <c r="J9" s="54"/>
      <c r="K9" s="54"/>
      <c r="L9" s="54"/>
    </row>
    <row r="10" spans="1:14" ht="13.9">
      <c r="A10" s="41" t="s">
        <v>34</v>
      </c>
      <c r="B10" s="63"/>
      <c r="C10" s="7"/>
      <c r="D10" s="7"/>
      <c r="E10" s="7"/>
      <c r="F10" s="6"/>
      <c r="G10" s="7"/>
      <c r="H10" s="7"/>
      <c r="I10" s="7"/>
      <c r="J10" s="7"/>
      <c r="K10" s="7"/>
      <c r="L10" s="6"/>
    </row>
    <row r="11" spans="1:14" ht="13.9">
      <c r="A11" s="23" t="s">
        <v>38</v>
      </c>
      <c r="B11" s="6">
        <v>1852.675</v>
      </c>
      <c r="C11" s="7">
        <v>2282.471</v>
      </c>
      <c r="D11" s="7">
        <f>(9279.7*2204.622)/1000000</f>
        <v>20.4582307734</v>
      </c>
      <c r="E11" s="7">
        <f t="shared" ref="E11:E17" si="1">SUM(B11:D11)</f>
        <v>4155.6042307733996</v>
      </c>
      <c r="F11" s="6"/>
      <c r="G11" s="6">
        <f t="shared" ref="G11:G17" si="2">K11-J11</f>
        <v>2002.3090817163998</v>
      </c>
      <c r="H11" s="7">
        <v>793.16669999999999</v>
      </c>
      <c r="I11" s="7">
        <f t="shared" ref="I11:I16" si="3">G11-H11</f>
        <v>1209.1423817163998</v>
      </c>
      <c r="J11" s="7">
        <f>(84043.5*2204.622)/1000000</f>
        <v>185.28414905699998</v>
      </c>
      <c r="K11" s="7">
        <f t="shared" ref="K11:K17" si="4">E11-L11</f>
        <v>2187.5932307733997</v>
      </c>
      <c r="L11" s="6">
        <v>1968.011</v>
      </c>
      <c r="N11" s="141"/>
    </row>
    <row r="12" spans="1:14" ht="13.9">
      <c r="A12" s="23" t="s">
        <v>39</v>
      </c>
      <c r="B12" s="6">
        <f t="shared" ref="B12:B17" si="5">L11</f>
        <v>1968.011</v>
      </c>
      <c r="C12" s="7">
        <v>2206.7919999999999</v>
      </c>
      <c r="D12" s="7">
        <f>(9584.1*2204.622)/1000000</f>
        <v>21.129317710200002</v>
      </c>
      <c r="E12" s="7">
        <f t="shared" si="1"/>
        <v>4195.9323177101996</v>
      </c>
      <c r="F12" s="6"/>
      <c r="G12" s="6">
        <f t="shared" si="2"/>
        <v>1902.0001620059995</v>
      </c>
      <c r="H12" s="7">
        <v>753.16669999999999</v>
      </c>
      <c r="I12" s="7">
        <f t="shared" si="3"/>
        <v>1148.8334620059995</v>
      </c>
      <c r="J12" s="7">
        <f>(80211.1*2204.622)/1000000</f>
        <v>176.83515570419999</v>
      </c>
      <c r="K12" s="7">
        <f t="shared" si="4"/>
        <v>2078.8353177101994</v>
      </c>
      <c r="L12" s="6">
        <v>2117.0970000000002</v>
      </c>
      <c r="N12" s="141"/>
    </row>
    <row r="13" spans="1:14" ht="13.9">
      <c r="A13" s="23" t="s">
        <v>41</v>
      </c>
      <c r="B13" s="6">
        <f t="shared" si="5"/>
        <v>2117.0970000000002</v>
      </c>
      <c r="C13" s="7">
        <v>2233.4859999999999</v>
      </c>
      <c r="D13" s="7">
        <f>(11454.4*2204.622)/1000000</f>
        <v>25.252622236799997</v>
      </c>
      <c r="E13" s="7">
        <f t="shared" si="1"/>
        <v>4375.8356222368002</v>
      </c>
      <c r="F13" s="6"/>
      <c r="G13" s="6">
        <f t="shared" si="2"/>
        <v>2030.3938453386002</v>
      </c>
      <c r="H13" s="7">
        <v>814.16669999999999</v>
      </c>
      <c r="I13" s="7">
        <f t="shared" si="3"/>
        <v>1216.2271453386002</v>
      </c>
      <c r="J13" s="7">
        <f>(106438.1*2204.622)/1000000</f>
        <v>234.6557768982</v>
      </c>
      <c r="K13" s="7">
        <f t="shared" si="4"/>
        <v>2265.0496222368001</v>
      </c>
      <c r="L13" s="6">
        <v>2110.7860000000001</v>
      </c>
      <c r="N13" s="141"/>
    </row>
    <row r="14" spans="1:14" ht="13.9">
      <c r="A14" s="23" t="s">
        <v>42</v>
      </c>
      <c r="B14" s="6">
        <f t="shared" si="5"/>
        <v>2110.7860000000001</v>
      </c>
      <c r="C14" s="7">
        <v>2308.752</v>
      </c>
      <c r="D14" s="7">
        <f>(8609.5*2204.622)/1000000</f>
        <v>18.980693108999997</v>
      </c>
      <c r="E14" s="7">
        <f t="shared" si="1"/>
        <v>4438.5186931090002</v>
      </c>
      <c r="F14" s="6"/>
      <c r="G14" s="6">
        <f t="shared" si="2"/>
        <v>1804.7204637692003</v>
      </c>
      <c r="H14" s="7">
        <v>682.77</v>
      </c>
      <c r="I14" s="7">
        <f t="shared" si="3"/>
        <v>1121.9504637692003</v>
      </c>
      <c r="J14" s="7">
        <f>(148690.9*2204.622)/1000000</f>
        <v>327.80722933979996</v>
      </c>
      <c r="K14" s="7">
        <f t="shared" si="4"/>
        <v>2132.5276931090002</v>
      </c>
      <c r="L14" s="6">
        <v>2305.991</v>
      </c>
      <c r="N14" s="141"/>
    </row>
    <row r="15" spans="1:14" ht="13.9">
      <c r="A15" s="23" t="s">
        <v>43</v>
      </c>
      <c r="B15" s="6">
        <f t="shared" si="5"/>
        <v>2305.991</v>
      </c>
      <c r="C15" s="7">
        <v>1924.749</v>
      </c>
      <c r="D15" s="7">
        <f>(9688.5*2204.622)/1000000</f>
        <v>21.359480246999997</v>
      </c>
      <c r="E15" s="7">
        <f t="shared" si="1"/>
        <v>4252.0994802469995</v>
      </c>
      <c r="F15" s="6"/>
      <c r="G15" s="6">
        <f t="shared" si="2"/>
        <v>1691.0133458537998</v>
      </c>
      <c r="H15" s="7">
        <v>552.50900000000001</v>
      </c>
      <c r="I15" s="7">
        <f t="shared" si="3"/>
        <v>1138.5043458537998</v>
      </c>
      <c r="J15" s="7">
        <f>(115710.6*2204.622)/1000000</f>
        <v>255.09813439319998</v>
      </c>
      <c r="K15" s="7">
        <f t="shared" si="4"/>
        <v>1946.1114802469997</v>
      </c>
      <c r="L15" s="6">
        <v>2305.9879999999998</v>
      </c>
      <c r="N15" s="141"/>
    </row>
    <row r="16" spans="1:14" ht="13.9">
      <c r="A16" s="23" t="s">
        <v>45</v>
      </c>
      <c r="B16" s="6">
        <f t="shared" si="5"/>
        <v>2305.9879999999998</v>
      </c>
      <c r="C16" s="7">
        <v>2222.123</v>
      </c>
      <c r="D16" s="7">
        <f>(9723.5*2204.622)/1000000</f>
        <v>21.436642016999997</v>
      </c>
      <c r="E16" s="7">
        <f t="shared" si="1"/>
        <v>4549.5476420169998</v>
      </c>
      <c r="F16" s="6"/>
      <c r="G16" s="6">
        <f t="shared" si="2"/>
        <v>2147.7624239259999</v>
      </c>
      <c r="H16" s="7">
        <v>748.81299999999999</v>
      </c>
      <c r="I16" s="7">
        <f t="shared" si="3"/>
        <v>1398.9494239259998</v>
      </c>
      <c r="J16" s="7">
        <f>(70990.5*2204.622)/1000000</f>
        <v>156.507218091</v>
      </c>
      <c r="K16" s="7">
        <f t="shared" si="4"/>
        <v>2304.269642017</v>
      </c>
      <c r="L16" s="6">
        <v>2245.2779999999998</v>
      </c>
      <c r="N16" s="141"/>
    </row>
    <row r="17" spans="1:14" ht="13.9">
      <c r="A17" s="23" t="s">
        <v>46</v>
      </c>
      <c r="B17" s="6">
        <f t="shared" si="5"/>
        <v>2245.2779999999998</v>
      </c>
      <c r="C17" s="7">
        <v>1991.877</v>
      </c>
      <c r="D17" s="7">
        <f>(9272.8*2204.622)/1000000</f>
        <v>20.443018881599997</v>
      </c>
      <c r="E17" s="7">
        <f t="shared" si="1"/>
        <v>4257.5980188816002</v>
      </c>
      <c r="F17" s="6"/>
      <c r="G17" s="6">
        <f t="shared" si="2"/>
        <v>1950.4267469655999</v>
      </c>
      <c r="H17" s="7">
        <v>699.93299999999999</v>
      </c>
      <c r="I17" s="7">
        <f t="shared" ref="I17:I22" si="6">G17-H17</f>
        <v>1250.4937469655999</v>
      </c>
      <c r="J17" s="7">
        <f>(58778*2204.622)/1000000</f>
        <v>129.583271916</v>
      </c>
      <c r="K17" s="7">
        <f t="shared" si="4"/>
        <v>2080.0100188816</v>
      </c>
      <c r="L17" s="6">
        <v>2177.5880000000002</v>
      </c>
      <c r="N17" s="141"/>
    </row>
    <row r="18" spans="1:14" ht="13.9">
      <c r="A18" s="23" t="s">
        <v>47</v>
      </c>
      <c r="B18" s="6">
        <f t="shared" ref="B18" si="7">L17</f>
        <v>2177.5880000000002</v>
      </c>
      <c r="C18" s="7">
        <v>2043.135</v>
      </c>
      <c r="D18" s="7">
        <f>(7432*2204.622)/1000000</f>
        <v>16.384750703999998</v>
      </c>
      <c r="E18" s="7">
        <f t="shared" ref="E18:E22" si="8">SUM(B18:D18)</f>
        <v>4237.107750704</v>
      </c>
      <c r="F18" s="6"/>
      <c r="G18" s="6">
        <f>K18-J18</f>
        <v>2018.9865195630002</v>
      </c>
      <c r="H18" s="7">
        <v>785.91399999999999</v>
      </c>
      <c r="I18" s="7">
        <f t="shared" si="6"/>
        <v>1233.0725195630002</v>
      </c>
      <c r="J18" s="7">
        <f>(32265.5*2204.622)/1000000</f>
        <v>71.133231140999982</v>
      </c>
      <c r="K18" s="7">
        <f>E18-L18</f>
        <v>2090.1197507040001</v>
      </c>
      <c r="L18" s="6">
        <v>2146.9879999999998</v>
      </c>
      <c r="N18" s="141"/>
    </row>
    <row r="19" spans="1:14" ht="13.9">
      <c r="A19" s="23" t="s">
        <v>49</v>
      </c>
      <c r="B19" s="6">
        <f>L18</f>
        <v>2146.9879999999998</v>
      </c>
      <c r="C19" s="7">
        <v>1908.6489999999999</v>
      </c>
      <c r="D19" s="7">
        <f>(11856.9*2204.622)/1000000</f>
        <v>26.139982591799996</v>
      </c>
      <c r="E19" s="7">
        <f t="shared" si="8"/>
        <v>4081.7769825917999</v>
      </c>
      <c r="F19" s="6"/>
      <c r="G19" s="6">
        <f>K19-J19</f>
        <v>1889.5118995415999</v>
      </c>
      <c r="H19" s="7">
        <v>679.98199999999997</v>
      </c>
      <c r="I19" s="7">
        <f t="shared" si="6"/>
        <v>1209.5298995415999</v>
      </c>
      <c r="J19" s="7">
        <f>(41554.1*2204.622)/1000000</f>
        <v>91.61108305019998</v>
      </c>
      <c r="K19" s="7">
        <f>E19-L19</f>
        <v>1981.1229825917999</v>
      </c>
      <c r="L19" s="6">
        <v>2100.654</v>
      </c>
      <c r="N19" s="141"/>
    </row>
    <row r="20" spans="1:14" ht="13.9">
      <c r="A20" s="23" t="s">
        <v>50</v>
      </c>
      <c r="B20" s="6">
        <f>L19</f>
        <v>2100.654</v>
      </c>
      <c r="C20" s="7">
        <v>1972.6880000000001</v>
      </c>
      <c r="D20" s="7">
        <f>(14747.8*2204.622)/1000000</f>
        <v>32.513324331599996</v>
      </c>
      <c r="E20" s="7">
        <f t="shared" si="8"/>
        <v>4105.8553243316001</v>
      </c>
      <c r="F20" s="6"/>
      <c r="G20" s="6">
        <f>K20-J20</f>
        <v>2005.5471758732001</v>
      </c>
      <c r="H20" s="7">
        <v>807.96799999999996</v>
      </c>
      <c r="I20" s="7">
        <f t="shared" si="6"/>
        <v>1197.5791758732003</v>
      </c>
      <c r="J20" s="7">
        <f>(13697.2*2204.622)/1000000</f>
        <v>30.197148458400001</v>
      </c>
      <c r="K20" s="7">
        <f>E20-L20</f>
        <v>2035.7443243316002</v>
      </c>
      <c r="L20" s="6">
        <v>2070.1109999999999</v>
      </c>
      <c r="N20" s="141"/>
    </row>
    <row r="21" spans="1:14" ht="13.9">
      <c r="A21" s="23" t="s">
        <v>51</v>
      </c>
      <c r="B21" s="6">
        <f>L20</f>
        <v>2070.1109999999999</v>
      </c>
      <c r="C21" s="7">
        <v>1989.7329999999999</v>
      </c>
      <c r="D21" s="7">
        <f>(19314.2*2204.622)/1000000</f>
        <v>42.580510232400002</v>
      </c>
      <c r="E21" s="7">
        <f t="shared" si="8"/>
        <v>4102.4245102324003</v>
      </c>
      <c r="F21" s="6"/>
      <c r="G21" s="6">
        <f>K21-J21</f>
        <v>1880.2042092524005</v>
      </c>
      <c r="H21" s="7">
        <v>822.94799999999998</v>
      </c>
      <c r="I21" s="7">
        <f t="shared" si="6"/>
        <v>1057.2562092524004</v>
      </c>
      <c r="J21" s="7">
        <f>(17590*2204.622)/1000000</f>
        <v>38.779300979999995</v>
      </c>
      <c r="K21" s="7">
        <f>E21-L21</f>
        <v>1918.9835102324005</v>
      </c>
      <c r="L21" s="6">
        <v>2183.4409999999998</v>
      </c>
      <c r="N21" s="141"/>
    </row>
    <row r="22" spans="1:14" ht="13.9">
      <c r="A22" s="23" t="s">
        <v>37</v>
      </c>
      <c r="B22" s="6">
        <f>L21</f>
        <v>2183.4409999999998</v>
      </c>
      <c r="C22" s="7">
        <v>1938.212</v>
      </c>
      <c r="D22" s="7">
        <f>(15831.8*2204.622)/1000000</f>
        <v>34.9031345796</v>
      </c>
      <c r="E22" s="7">
        <f t="shared" si="8"/>
        <v>4156.5561345796004</v>
      </c>
      <c r="F22" s="6"/>
      <c r="G22" s="6">
        <f>K22-J22</f>
        <v>1991.4559518778003</v>
      </c>
      <c r="H22" s="7">
        <v>779.125</v>
      </c>
      <c r="I22" s="7">
        <f t="shared" si="6"/>
        <v>1212.3309518778003</v>
      </c>
      <c r="J22" s="7">
        <f>(15361.9*2204.622)/1000000</f>
        <v>33.867182701799997</v>
      </c>
      <c r="K22" s="7">
        <f>E22-L22</f>
        <v>2025.3231345796003</v>
      </c>
      <c r="L22" s="6">
        <v>2131.2330000000002</v>
      </c>
      <c r="N22" s="141"/>
    </row>
    <row r="23" spans="1:14" ht="13.9">
      <c r="A23" s="23" t="s">
        <v>28</v>
      </c>
      <c r="B23" s="6"/>
      <c r="C23" s="7">
        <f>SUM(C11:C22)</f>
        <v>25022.667000000001</v>
      </c>
      <c r="D23" s="7">
        <f>SUM(D11:D22)</f>
        <v>301.5817074144</v>
      </c>
      <c r="E23" s="7">
        <f>B11+C23+D23</f>
        <v>27176.9237074144</v>
      </c>
      <c r="F23" s="6"/>
      <c r="G23" s="6">
        <f>SUM(G11:G22)</f>
        <v>23314.331825683603</v>
      </c>
      <c r="H23" s="7">
        <f>SUM(H11:H22)</f>
        <v>8920.4621000000006</v>
      </c>
      <c r="I23" s="7">
        <f>SUM(I11:I22)</f>
        <v>14393.8697256836</v>
      </c>
      <c r="J23" s="7">
        <f>SUM(J11:J22)</f>
        <v>1731.3588817307998</v>
      </c>
      <c r="K23" s="6">
        <f>SUM(K11:K22)</f>
        <v>25045.690707414404</v>
      </c>
      <c r="L23" s="6"/>
    </row>
    <row r="24" spans="1:14" ht="13.9">
      <c r="A24" s="23"/>
      <c r="B24" s="6"/>
      <c r="C24" s="7"/>
      <c r="D24" s="7"/>
      <c r="E24" s="7"/>
      <c r="F24" s="6"/>
      <c r="G24" s="6"/>
      <c r="H24" s="7"/>
      <c r="I24" s="7"/>
      <c r="J24" s="7"/>
      <c r="K24" s="6"/>
      <c r="L24" s="6"/>
    </row>
    <row r="25" spans="1:14" ht="13.9">
      <c r="A25" s="41" t="s">
        <v>53</v>
      </c>
      <c r="B25" s="6"/>
      <c r="C25" s="7"/>
      <c r="D25" s="7"/>
      <c r="E25" s="7"/>
      <c r="F25" s="6"/>
      <c r="G25" s="6"/>
      <c r="H25" s="7"/>
      <c r="I25" s="7"/>
      <c r="J25" s="7"/>
      <c r="K25" s="6"/>
      <c r="L25" s="6"/>
    </row>
    <row r="26" spans="1:14" ht="13.9">
      <c r="A26" s="23" t="s">
        <v>38</v>
      </c>
      <c r="B26" s="6">
        <f>L22</f>
        <v>2131.2330000000002</v>
      </c>
      <c r="C26" s="7">
        <v>2347.58</v>
      </c>
      <c r="D26" s="7">
        <f>(16251.7*2204.622)/1000000</f>
        <v>35.828855357400002</v>
      </c>
      <c r="E26" s="7">
        <f t="shared" ref="E26:E30" si="9">SUM(B26:D26)</f>
        <v>4514.6418553574003</v>
      </c>
      <c r="F26" s="6"/>
      <c r="G26" s="6">
        <f t="shared" ref="G26:G35" si="10">K26-J26</f>
        <v>2071.1409910572002</v>
      </c>
      <c r="H26" s="7">
        <v>832.42700000000002</v>
      </c>
      <c r="I26" s="7">
        <f t="shared" ref="I26:I34" si="11">G26-H26</f>
        <v>1238.7139910572</v>
      </c>
      <c r="J26" s="7">
        <f>(25929.1*2204.622)/1000000</f>
        <v>57.16386430019999</v>
      </c>
      <c r="K26" s="7">
        <f t="shared" ref="K26:K35" si="12">E26-L26</f>
        <v>2128.3048553574004</v>
      </c>
      <c r="L26" s="6">
        <v>2386.337</v>
      </c>
      <c r="N26" s="141"/>
    </row>
    <row r="27" spans="1:14" ht="13.9">
      <c r="A27" s="23" t="s">
        <v>39</v>
      </c>
      <c r="B27" s="6">
        <f t="shared" ref="B27:B35" si="13">L26</f>
        <v>2386.337</v>
      </c>
      <c r="C27" s="7">
        <v>2235.37</v>
      </c>
      <c r="D27" s="7">
        <f>(15479.7*2204.622)/1000000</f>
        <v>34.1268871734</v>
      </c>
      <c r="E27" s="7">
        <f t="shared" si="9"/>
        <v>4655.8338871734004</v>
      </c>
      <c r="F27" s="6"/>
      <c r="G27" s="6">
        <f t="shared" si="10"/>
        <v>2020.5919628710003</v>
      </c>
      <c r="H27" s="7">
        <v>818.01271279999992</v>
      </c>
      <c r="I27" s="7">
        <f t="shared" si="11"/>
        <v>1202.5792500710004</v>
      </c>
      <c r="J27" s="7">
        <f>(103999.2*2204.622)/1000000</f>
        <v>229.27892430239996</v>
      </c>
      <c r="K27" s="7">
        <f t="shared" si="12"/>
        <v>2249.8708871734002</v>
      </c>
      <c r="L27" s="6">
        <v>2405.9630000000002</v>
      </c>
      <c r="N27" s="141"/>
    </row>
    <row r="28" spans="1:14" ht="13.9">
      <c r="A28" s="23" t="s">
        <v>41</v>
      </c>
      <c r="B28" s="6">
        <f t="shared" si="13"/>
        <v>2405.9630000000002</v>
      </c>
      <c r="C28" s="7">
        <v>2324.183</v>
      </c>
      <c r="D28" s="7">
        <f>(14353.5*2204.622)/1000000</f>
        <v>31.644041876999996</v>
      </c>
      <c r="E28" s="7">
        <f t="shared" si="9"/>
        <v>4761.7900418770005</v>
      </c>
      <c r="F28" s="68"/>
      <c r="G28" s="6">
        <f t="shared" si="10"/>
        <v>2130.8006323142004</v>
      </c>
      <c r="H28" s="7">
        <v>938.34100000000001</v>
      </c>
      <c r="I28" s="7">
        <f t="shared" si="11"/>
        <v>1192.4596323142005</v>
      </c>
      <c r="J28" s="7">
        <f>(74887.4*2204.622)/1000000</f>
        <v>165.09840956279999</v>
      </c>
      <c r="K28" s="7">
        <f t="shared" si="12"/>
        <v>2295.8990418770004</v>
      </c>
      <c r="L28" s="6">
        <v>2465.8910000000001</v>
      </c>
      <c r="N28" s="141"/>
    </row>
    <row r="29" spans="1:14" ht="13.9">
      <c r="A29" s="23" t="s">
        <v>42</v>
      </c>
      <c r="B29" s="6">
        <f t="shared" si="13"/>
        <v>2465.8910000000001</v>
      </c>
      <c r="C29" s="7">
        <v>2277.355</v>
      </c>
      <c r="D29" s="7">
        <f>(7352.3*2204.622)/1000000</f>
        <v>16.209042330599999</v>
      </c>
      <c r="E29" s="7">
        <f t="shared" si="9"/>
        <v>4759.4550423306</v>
      </c>
      <c r="F29" s="68"/>
      <c r="G29" s="6">
        <f t="shared" si="10"/>
        <v>1975.1484729870001</v>
      </c>
      <c r="H29" s="7">
        <v>791.38699999999994</v>
      </c>
      <c r="I29" s="7">
        <f t="shared" si="11"/>
        <v>1183.7614729870002</v>
      </c>
      <c r="J29" s="7">
        <f>(128993.8*2204.622)/1000000</f>
        <v>284.38256934359998</v>
      </c>
      <c r="K29" s="7">
        <f t="shared" si="12"/>
        <v>2259.5310423306</v>
      </c>
      <c r="L29" s="6">
        <v>2499.924</v>
      </c>
      <c r="N29" s="141"/>
    </row>
    <row r="30" spans="1:14" ht="13.9">
      <c r="A30" s="23" t="s">
        <v>43</v>
      </c>
      <c r="B30" s="6">
        <f t="shared" si="13"/>
        <v>2499.924</v>
      </c>
      <c r="C30" s="7">
        <v>2064.1990000000001</v>
      </c>
      <c r="D30" s="7">
        <f>(9762.4*2204.622)/1000000</f>
        <v>21.522401812799998</v>
      </c>
      <c r="E30" s="7">
        <f t="shared" si="9"/>
        <v>4585.6454018127997</v>
      </c>
      <c r="F30" s="68"/>
      <c r="G30" s="6">
        <f t="shared" si="10"/>
        <v>1783.8920882499997</v>
      </c>
      <c r="H30" s="7">
        <v>740.60299999999995</v>
      </c>
      <c r="I30" s="7">
        <f t="shared" si="11"/>
        <v>1043.2890882499996</v>
      </c>
      <c r="J30" s="7">
        <f>(106887.4*2204.622)/1000000</f>
        <v>235.64631356279995</v>
      </c>
      <c r="K30" s="7">
        <f t="shared" si="12"/>
        <v>2019.5384018127997</v>
      </c>
      <c r="L30" s="6">
        <v>2566.107</v>
      </c>
      <c r="N30" s="141"/>
    </row>
    <row r="31" spans="1:14" ht="13.9">
      <c r="A31" s="23" t="s">
        <v>45</v>
      </c>
      <c r="B31" s="6">
        <f t="shared" si="13"/>
        <v>2566.107</v>
      </c>
      <c r="C31" s="7">
        <v>2277.5410000000002</v>
      </c>
      <c r="D31" s="7">
        <f>(10063.7*2204.622)/1000000</f>
        <v>22.1866544214</v>
      </c>
      <c r="E31" s="7">
        <f>SUM(B31:D31)</f>
        <v>4865.8346544214</v>
      </c>
      <c r="F31" s="68"/>
      <c r="G31" s="6">
        <f t="shared" si="10"/>
        <v>2165.6971246716002</v>
      </c>
      <c r="H31" s="7">
        <v>908.29</v>
      </c>
      <c r="I31" s="7">
        <f t="shared" si="11"/>
        <v>1257.4071246716003</v>
      </c>
      <c r="J31" s="7">
        <f>(120845.9*2204.622)/1000000</f>
        <v>266.41952974979995</v>
      </c>
      <c r="K31" s="7">
        <f t="shared" si="12"/>
        <v>2432.1166544214002</v>
      </c>
      <c r="L31" s="6">
        <v>2433.7179999999998</v>
      </c>
      <c r="N31" s="141"/>
    </row>
    <row r="32" spans="1:14" ht="13.9">
      <c r="A32" s="23" t="s">
        <v>46</v>
      </c>
      <c r="B32" s="6">
        <f t="shared" si="13"/>
        <v>2433.7179999999998</v>
      </c>
      <c r="C32" s="7">
        <v>2143.1179999999999</v>
      </c>
      <c r="D32" s="7">
        <f>(10668.4*2204.622)/1000000</f>
        <v>23.519789344799999</v>
      </c>
      <c r="E32" s="7">
        <f>SUM(B32:D32)</f>
        <v>4600.3557893447996</v>
      </c>
      <c r="F32" s="68"/>
      <c r="G32" s="6">
        <f t="shared" si="10"/>
        <v>2008.0816443671997</v>
      </c>
      <c r="H32" s="7">
        <v>838.9</v>
      </c>
      <c r="I32" s="7">
        <f t="shared" si="11"/>
        <v>1169.1816443671996</v>
      </c>
      <c r="J32" s="7">
        <f>(76240.8*2204.622)/1000000</f>
        <v>168.0821449776</v>
      </c>
      <c r="K32" s="7">
        <f t="shared" si="12"/>
        <v>2176.1637893447996</v>
      </c>
      <c r="L32" s="6">
        <v>2424.192</v>
      </c>
      <c r="N32" s="141"/>
    </row>
    <row r="33" spans="1:14" ht="13.9">
      <c r="A33" s="23" t="s">
        <v>47</v>
      </c>
      <c r="B33" s="6">
        <f t="shared" si="13"/>
        <v>2424.192</v>
      </c>
      <c r="C33" s="7">
        <v>2158.7739999999999</v>
      </c>
      <c r="D33" s="143">
        <f>(11311.9*2204.622)/1000000</f>
        <v>24.938463601799999</v>
      </c>
      <c r="E33" s="7">
        <f>SUM(B33:D33)</f>
        <v>4607.9044636018007</v>
      </c>
      <c r="F33" s="68"/>
      <c r="G33" s="6">
        <f t="shared" si="10"/>
        <v>2149.6411321876008</v>
      </c>
      <c r="H33" s="7">
        <v>855.57100000000003</v>
      </c>
      <c r="I33" s="7">
        <f t="shared" si="11"/>
        <v>1294.0701321876008</v>
      </c>
      <c r="J33" s="143">
        <f>(33516.1*2204.622)/1000000</f>
        <v>73.890331414199991</v>
      </c>
      <c r="K33" s="7">
        <f t="shared" si="12"/>
        <v>2223.5314636018006</v>
      </c>
      <c r="L33" s="6">
        <v>2384.373</v>
      </c>
      <c r="N33" s="141"/>
    </row>
    <row r="34" spans="1:14" ht="13.9">
      <c r="A34" s="23" t="s">
        <v>49</v>
      </c>
      <c r="B34" s="6">
        <f t="shared" si="13"/>
        <v>2384.373</v>
      </c>
      <c r="C34" s="7">
        <v>2068.578</v>
      </c>
      <c r="D34" s="143">
        <f>(10963.3*2204.622)/1000000</f>
        <v>24.169932372599998</v>
      </c>
      <c r="E34" s="7">
        <f>SUM(B34:D34)</f>
        <v>4477.1209323725998</v>
      </c>
      <c r="F34" s="68"/>
      <c r="G34" s="6">
        <f t="shared" si="10"/>
        <v>2088.4572126891999</v>
      </c>
      <c r="H34" s="7">
        <v>809.79899999999998</v>
      </c>
      <c r="I34" s="7">
        <f t="shared" si="11"/>
        <v>1278.6582126891999</v>
      </c>
      <c r="J34" s="143">
        <f>(33184.7*2204.622)/1000000</f>
        <v>73.159719683399985</v>
      </c>
      <c r="K34" s="7">
        <f t="shared" si="12"/>
        <v>2161.6169323725999</v>
      </c>
      <c r="L34" s="6">
        <v>2315.5039999999999</v>
      </c>
      <c r="N34"/>
    </row>
    <row r="35" spans="1:14" ht="13.9">
      <c r="A35" s="17" t="s">
        <v>50</v>
      </c>
      <c r="B35" s="64">
        <f t="shared" si="13"/>
        <v>2315.5039999999999</v>
      </c>
      <c r="C35" s="48">
        <v>2157.9699999999998</v>
      </c>
      <c r="D35" s="142">
        <f>(11391.7*2204.622)/1000000</f>
        <v>25.114392437399999</v>
      </c>
      <c r="E35" s="48">
        <f>SUM(B35:D35)</f>
        <v>4498.5883924374002</v>
      </c>
      <c r="F35" s="16"/>
      <c r="G35" s="64">
        <f t="shared" si="10"/>
        <v>2152.2464242048004</v>
      </c>
      <c r="H35" s="48" t="s">
        <v>75</v>
      </c>
      <c r="I35" s="48" t="s">
        <v>75</v>
      </c>
      <c r="J35" s="142">
        <f>(53593.3*2204.622)/1000000</f>
        <v>118.1529682326</v>
      </c>
      <c r="K35" s="48">
        <f t="shared" si="12"/>
        <v>2270.3993924374004</v>
      </c>
      <c r="L35" s="64">
        <v>2228.1889999999999</v>
      </c>
      <c r="N35"/>
    </row>
    <row r="36" spans="1:14" ht="16.149999999999999">
      <c r="A36" s="58" t="s">
        <v>76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4" ht="14.45">
      <c r="A37" s="19" t="s">
        <v>68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4" ht="13.9">
      <c r="A38" s="25" t="s">
        <v>56</v>
      </c>
      <c r="B38" s="50">
        <f ca="1">NOW()</f>
        <v>44818.289790162038</v>
      </c>
      <c r="K38" s="46"/>
    </row>
    <row r="39" spans="1:14">
      <c r="E39" s="46"/>
    </row>
  </sheetData>
  <mergeCells count="3">
    <mergeCell ref="B5:L5"/>
    <mergeCell ref="G2:I2"/>
    <mergeCell ref="B2:E2"/>
  </mergeCells>
  <phoneticPr fontId="13" type="noConversion"/>
  <pageMargins left="0.75" right="0.75" top="1" bottom="1" header="0.5" footer="0.5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40625" defaultRowHeight="13.15"/>
  <cols>
    <col min="1" max="1" width="15.28515625" style="18" customWidth="1"/>
    <col min="2" max="2" width="13.140625" style="18" customWidth="1"/>
    <col min="3" max="3" width="12.140625" style="18" customWidth="1"/>
    <col min="4" max="4" width="13.42578125" style="18" customWidth="1"/>
    <col min="5" max="5" width="15.28515625" style="18" customWidth="1"/>
    <col min="6" max="6" width="11.42578125" style="18" customWidth="1"/>
    <col min="7" max="7" width="11.7109375" style="18" customWidth="1"/>
    <col min="8" max="8" width="8.7109375" style="18" customWidth="1"/>
    <col min="9" max="9" width="9.7109375" style="18" customWidth="1"/>
    <col min="10" max="11" width="7.7109375" style="18" customWidth="1"/>
    <col min="12" max="12" width="8.5703125" style="18" customWidth="1"/>
    <col min="13" max="13" width="9.5703125" style="18" customWidth="1"/>
    <col min="14" max="15" width="7.5703125" style="18" customWidth="1"/>
    <col min="16" max="18" width="9.140625" style="18"/>
    <col min="19" max="19" width="17.42578125" style="18" bestFit="1" customWidth="1"/>
    <col min="20" max="20" width="9.140625" style="18"/>
    <col min="21" max="21" width="28.28515625" style="18" bestFit="1" customWidth="1"/>
    <col min="22" max="16384" width="9.140625" style="18"/>
  </cols>
  <sheetData>
    <row r="1" spans="1:15" ht="13.9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9"/>
      <c r="M1" s="19"/>
      <c r="N1" s="19"/>
      <c r="O1" s="19"/>
    </row>
    <row r="2" spans="1:15" ht="13.9">
      <c r="A2" s="19"/>
      <c r="B2" s="169" t="s">
        <v>57</v>
      </c>
      <c r="C2" s="169"/>
      <c r="D2" s="169"/>
      <c r="E2" s="169"/>
      <c r="F2" s="96"/>
      <c r="G2" s="169" t="s">
        <v>58</v>
      </c>
      <c r="H2" s="169"/>
      <c r="I2" s="169"/>
      <c r="J2" s="169"/>
      <c r="K2" s="96"/>
      <c r="L2" s="19"/>
      <c r="M2" s="19"/>
      <c r="N2" s="19"/>
      <c r="O2" s="19"/>
    </row>
    <row r="3" spans="1:15" ht="13.9">
      <c r="A3" s="19" t="s">
        <v>17</v>
      </c>
      <c r="B3" s="25" t="s">
        <v>69</v>
      </c>
      <c r="C3" s="25"/>
      <c r="D3" s="25"/>
      <c r="E3" s="25"/>
      <c r="F3" s="97"/>
      <c r="G3" s="25"/>
      <c r="H3" s="25"/>
      <c r="I3" s="25"/>
      <c r="J3" s="25"/>
      <c r="K3" s="21" t="s">
        <v>59</v>
      </c>
      <c r="L3" s="19"/>
      <c r="M3" s="19"/>
      <c r="N3" s="19"/>
      <c r="O3" s="19"/>
    </row>
    <row r="4" spans="1:15" ht="13.9">
      <c r="A4" s="26" t="s">
        <v>77</v>
      </c>
      <c r="B4" s="28" t="s">
        <v>78</v>
      </c>
      <c r="C4" s="78" t="s">
        <v>26</v>
      </c>
      <c r="D4" s="30" t="s">
        <v>70</v>
      </c>
      <c r="E4" s="28" t="s">
        <v>79</v>
      </c>
      <c r="F4" s="29"/>
      <c r="G4" s="28" t="s">
        <v>80</v>
      </c>
      <c r="H4" s="28" t="s">
        <v>30</v>
      </c>
      <c r="I4" s="28" t="s">
        <v>81</v>
      </c>
      <c r="J4" s="28" t="s">
        <v>82</v>
      </c>
      <c r="K4" s="28" t="s">
        <v>61</v>
      </c>
      <c r="L4" s="19"/>
      <c r="M4" s="19"/>
      <c r="N4" s="19"/>
      <c r="O4" s="19"/>
    </row>
    <row r="5" spans="1:15" ht="14.45">
      <c r="A5" s="19"/>
      <c r="B5" s="174" t="s">
        <v>83</v>
      </c>
      <c r="C5" s="174"/>
      <c r="D5" s="174"/>
      <c r="E5" s="174"/>
      <c r="F5" s="174"/>
      <c r="G5" s="174"/>
      <c r="H5" s="174"/>
      <c r="I5" s="174"/>
      <c r="J5" s="174"/>
      <c r="K5" s="174"/>
      <c r="L5" s="19"/>
      <c r="M5" s="19"/>
      <c r="N5" s="19"/>
      <c r="O5" s="19"/>
    </row>
    <row r="6" spans="1:15" ht="13.9">
      <c r="A6" s="23" t="s">
        <v>34</v>
      </c>
      <c r="B6" s="99">
        <v>456.0068619717149</v>
      </c>
      <c r="C6" s="99">
        <v>4468</v>
      </c>
      <c r="D6" s="100">
        <v>1</v>
      </c>
      <c r="E6" s="99">
        <f>B6+C6+D6</f>
        <v>4925.0068619717149</v>
      </c>
      <c r="F6" s="101"/>
      <c r="G6" s="99">
        <v>1562.7429999999999</v>
      </c>
      <c r="H6" s="102">
        <v>279.55399999999997</v>
      </c>
      <c r="I6" s="99">
        <v>2687</v>
      </c>
      <c r="J6" s="99">
        <f>E6-K6</f>
        <v>4529.3643090269106</v>
      </c>
      <c r="K6" s="99">
        <v>395.64255294480427</v>
      </c>
      <c r="L6" s="19"/>
      <c r="M6" s="19"/>
      <c r="N6" s="19"/>
      <c r="O6" s="19"/>
    </row>
    <row r="7" spans="1:15" ht="16.149999999999999">
      <c r="A7" s="23" t="s">
        <v>35</v>
      </c>
      <c r="B7" s="99">
        <f>K6</f>
        <v>395.64255294480427</v>
      </c>
      <c r="C7" s="99">
        <v>5323</v>
      </c>
      <c r="D7" s="100">
        <v>24.765738432900992</v>
      </c>
      <c r="E7" s="99">
        <f>B7+C7+D7</f>
        <v>5743.4082913777056</v>
      </c>
      <c r="F7" s="101"/>
      <c r="G7" s="99">
        <v>1556.9839999999999</v>
      </c>
      <c r="H7" s="102">
        <v>297.69790855776995</v>
      </c>
      <c r="I7" s="99">
        <v>3493.7999999999997</v>
      </c>
      <c r="J7" s="99">
        <f>E7-K7</f>
        <v>5348.5657384329006</v>
      </c>
      <c r="K7" s="99">
        <v>394.84255294480499</v>
      </c>
      <c r="L7" s="19"/>
      <c r="M7" s="19"/>
      <c r="N7" s="19"/>
      <c r="O7" s="19"/>
    </row>
    <row r="8" spans="1:15" ht="16.149999999999999">
      <c r="A8" s="17" t="s">
        <v>36</v>
      </c>
      <c r="B8" s="103">
        <f>K7</f>
        <v>394.84255294480499</v>
      </c>
      <c r="C8" s="103">
        <v>4204</v>
      </c>
      <c r="D8" s="104">
        <v>1</v>
      </c>
      <c r="E8" s="103">
        <f>B8+C8+D8</f>
        <v>4599.842552944805</v>
      </c>
      <c r="F8" s="105"/>
      <c r="G8" s="103">
        <v>1480</v>
      </c>
      <c r="H8" s="106">
        <v>225</v>
      </c>
      <c r="I8" s="103">
        <v>2495</v>
      </c>
      <c r="J8" s="103">
        <f>E8-K8</f>
        <v>4199.842552944805</v>
      </c>
      <c r="K8" s="103">
        <v>400</v>
      </c>
      <c r="L8" s="19"/>
      <c r="M8" s="19"/>
      <c r="N8" s="19"/>
      <c r="O8" s="19"/>
    </row>
    <row r="9" spans="1:15" ht="16.149999999999999">
      <c r="A9" s="58" t="s">
        <v>84</v>
      </c>
      <c r="B9" s="19"/>
      <c r="C9" s="98"/>
      <c r="D9" s="98"/>
      <c r="E9" s="98"/>
      <c r="F9" s="98"/>
      <c r="G9" s="107"/>
      <c r="H9" s="98"/>
      <c r="I9" s="98"/>
      <c r="J9" s="98"/>
      <c r="K9" s="19"/>
      <c r="L9" s="19"/>
      <c r="M9" s="19"/>
      <c r="N9" s="19"/>
      <c r="O9" s="19"/>
    </row>
    <row r="10" spans="1:15" ht="14.45">
      <c r="A10" s="19" t="s">
        <v>85</v>
      </c>
      <c r="B10" s="38"/>
      <c r="C10" s="44"/>
      <c r="D10" s="19"/>
      <c r="E10" s="38"/>
      <c r="F10" s="38"/>
      <c r="G10" s="38"/>
      <c r="H10" s="38"/>
      <c r="I10" s="38"/>
      <c r="J10" s="38"/>
      <c r="K10" s="19"/>
      <c r="L10" s="19"/>
      <c r="M10" s="19"/>
      <c r="N10" s="19"/>
      <c r="O10" s="19"/>
    </row>
    <row r="11" spans="1:15" ht="14.45">
      <c r="A11" s="19" t="s">
        <v>86</v>
      </c>
      <c r="B11" s="38"/>
      <c r="C11" s="44"/>
      <c r="D11" s="19"/>
      <c r="E11" s="38"/>
      <c r="F11" s="38"/>
      <c r="G11" s="38"/>
      <c r="H11" s="38"/>
      <c r="I11" s="38"/>
      <c r="J11" s="38"/>
      <c r="K11" s="19"/>
      <c r="L11" s="19"/>
      <c r="M11" s="19"/>
      <c r="N11" s="19"/>
      <c r="O11" s="19"/>
    </row>
    <row r="12" spans="1:15" ht="13.9">
      <c r="A12" s="19"/>
      <c r="B12" s="38"/>
      <c r="C12" s="44"/>
      <c r="D12" s="19"/>
      <c r="E12" s="38"/>
      <c r="F12" s="38"/>
      <c r="G12" s="38"/>
      <c r="H12" s="38"/>
      <c r="I12" s="38"/>
      <c r="J12" s="38"/>
      <c r="K12" s="19"/>
      <c r="L12" s="19"/>
      <c r="M12" s="19"/>
      <c r="N12" s="19"/>
      <c r="O12" s="19"/>
    </row>
    <row r="13" spans="1:15" ht="13.9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9">
      <c r="A14" s="17" t="s">
        <v>5</v>
      </c>
      <c r="B14" s="17"/>
      <c r="C14" s="17"/>
      <c r="D14" s="17"/>
      <c r="E14" s="17"/>
      <c r="F14" s="17"/>
      <c r="G14" s="17"/>
      <c r="H14" s="17"/>
      <c r="I14" s="19"/>
      <c r="J14" s="17"/>
      <c r="K14" s="19"/>
      <c r="L14" s="19"/>
      <c r="M14" s="19"/>
      <c r="N14" s="19"/>
      <c r="O14" s="19"/>
    </row>
    <row r="15" spans="1:15" ht="13.9">
      <c r="A15" s="19"/>
      <c r="B15" s="169" t="s">
        <v>57</v>
      </c>
      <c r="C15" s="169"/>
      <c r="D15" s="169"/>
      <c r="E15" s="169"/>
      <c r="F15" s="19"/>
      <c r="G15" s="169" t="s">
        <v>58</v>
      </c>
      <c r="H15" s="169"/>
      <c r="I15" s="169"/>
      <c r="J15" s="19"/>
      <c r="K15" s="19"/>
      <c r="L15" s="19"/>
      <c r="M15" s="19"/>
      <c r="N15" s="19"/>
      <c r="O15" s="19"/>
    </row>
    <row r="16" spans="1:15" ht="13.9">
      <c r="A16" s="19" t="s">
        <v>17</v>
      </c>
      <c r="B16" s="21" t="s">
        <v>69</v>
      </c>
      <c r="C16" s="25"/>
      <c r="D16" s="25"/>
      <c r="E16" s="25"/>
      <c r="F16" s="25"/>
      <c r="G16" s="25"/>
      <c r="H16" s="25"/>
      <c r="I16" s="25"/>
      <c r="J16" s="21" t="s">
        <v>59</v>
      </c>
      <c r="K16" s="19"/>
      <c r="L16" s="19"/>
      <c r="M16" s="19"/>
      <c r="N16" s="19"/>
      <c r="O16" s="19"/>
    </row>
    <row r="17" spans="1:15" ht="13.9">
      <c r="A17" s="26" t="s">
        <v>60</v>
      </c>
      <c r="B17" s="28" t="s">
        <v>61</v>
      </c>
      <c r="C17" s="78" t="s">
        <v>26</v>
      </c>
      <c r="D17" s="30" t="s">
        <v>70</v>
      </c>
      <c r="E17" s="28" t="s">
        <v>82</v>
      </c>
      <c r="F17" s="29"/>
      <c r="G17" s="99" t="s">
        <v>87</v>
      </c>
      <c r="H17" s="28" t="s">
        <v>30</v>
      </c>
      <c r="I17" s="30" t="s">
        <v>62</v>
      </c>
      <c r="J17" s="28" t="s">
        <v>61</v>
      </c>
      <c r="K17" s="19"/>
      <c r="L17" s="19"/>
      <c r="M17" s="19"/>
      <c r="N17" s="19"/>
      <c r="O17" s="19"/>
    </row>
    <row r="18" spans="1:15" ht="14.45">
      <c r="A18" s="19"/>
      <c r="B18" s="174" t="s">
        <v>88</v>
      </c>
      <c r="C18" s="174"/>
      <c r="D18" s="174"/>
      <c r="E18" s="174"/>
      <c r="F18" s="174"/>
      <c r="G18" s="174"/>
      <c r="H18" s="174"/>
      <c r="I18" s="174"/>
      <c r="J18" s="174"/>
      <c r="K18" s="19"/>
      <c r="L18" s="19"/>
      <c r="M18" s="19"/>
      <c r="N18" s="19"/>
      <c r="O18" s="19"/>
    </row>
    <row r="19" spans="1:15" ht="13.9">
      <c r="A19" s="23" t="s">
        <v>34</v>
      </c>
      <c r="B19" s="99">
        <v>24.872</v>
      </c>
      <c r="C19" s="102">
        <v>648.57100000000003</v>
      </c>
      <c r="D19" s="100">
        <v>0</v>
      </c>
      <c r="E19" s="102">
        <f>B19+C19+D19</f>
        <v>673.44299999999998</v>
      </c>
      <c r="F19" s="101"/>
      <c r="G19" s="102">
        <v>573.37699999999995</v>
      </c>
      <c r="H19" s="102">
        <v>60.759509638330982</v>
      </c>
      <c r="I19" s="102">
        <f>SUM(G19:H19)</f>
        <v>634.13650963833095</v>
      </c>
      <c r="J19" s="99">
        <v>39.305999999999997</v>
      </c>
      <c r="K19" s="19"/>
      <c r="L19" s="19"/>
      <c r="M19" s="19"/>
      <c r="N19" s="19"/>
      <c r="O19" s="19"/>
    </row>
    <row r="20" spans="1:15" ht="16.149999999999999">
      <c r="A20" s="23" t="s">
        <v>35</v>
      </c>
      <c r="B20" s="99">
        <f>J19</f>
        <v>39.305999999999997</v>
      </c>
      <c r="C20" s="102">
        <v>695</v>
      </c>
      <c r="D20" s="100">
        <v>0</v>
      </c>
      <c r="E20" s="102">
        <f>B20+C20+D20</f>
        <v>734.30600000000004</v>
      </c>
      <c r="F20" s="101"/>
      <c r="G20" s="102">
        <f>E20-J20-H20</f>
        <v>649.30600000000004</v>
      </c>
      <c r="H20" s="102">
        <v>60</v>
      </c>
      <c r="I20" s="102">
        <f>SUM(G20:H20)</f>
        <v>709.30600000000004</v>
      </c>
      <c r="J20" s="99">
        <v>25</v>
      </c>
      <c r="K20" s="19"/>
      <c r="L20" s="19"/>
      <c r="M20" s="19"/>
      <c r="N20" s="19"/>
      <c r="O20" s="19"/>
    </row>
    <row r="21" spans="1:15" ht="16.149999999999999">
      <c r="A21" s="17" t="s">
        <v>36</v>
      </c>
      <c r="B21" s="103">
        <f>J20</f>
        <v>25</v>
      </c>
      <c r="C21" s="106">
        <v>660</v>
      </c>
      <c r="D21" s="104">
        <v>0</v>
      </c>
      <c r="E21" s="106">
        <f>B21+C21+D21</f>
        <v>685</v>
      </c>
      <c r="F21" s="105"/>
      <c r="G21" s="106">
        <f>E21-J21-H21</f>
        <v>585</v>
      </c>
      <c r="H21" s="106">
        <v>60</v>
      </c>
      <c r="I21" s="106">
        <f>SUM(G21:H21)</f>
        <v>645</v>
      </c>
      <c r="J21" s="103">
        <v>40</v>
      </c>
      <c r="K21" s="19"/>
      <c r="L21" s="19"/>
      <c r="M21" s="19"/>
      <c r="N21" s="19"/>
      <c r="O21" s="19"/>
    </row>
    <row r="22" spans="1:15" ht="16.149999999999999">
      <c r="A22" s="58" t="s">
        <v>84</v>
      </c>
      <c r="B22" s="19"/>
      <c r="C22" s="98"/>
      <c r="D22" s="98"/>
      <c r="E22" s="98"/>
      <c r="F22" s="98"/>
      <c r="G22" s="98"/>
      <c r="H22" s="98"/>
      <c r="I22" s="19"/>
      <c r="J22" s="19"/>
      <c r="K22" s="19"/>
      <c r="L22" s="19"/>
      <c r="M22" s="19"/>
      <c r="N22" s="19"/>
      <c r="O22" s="19"/>
    </row>
    <row r="23" spans="1:15" ht="14.45">
      <c r="A23" s="19" t="s">
        <v>89</v>
      </c>
      <c r="B23" s="101"/>
      <c r="C23" s="101"/>
      <c r="D23" s="101"/>
      <c r="E23" s="101"/>
      <c r="F23" s="101"/>
      <c r="G23" s="101"/>
      <c r="H23" s="101"/>
      <c r="I23" s="19"/>
      <c r="J23" s="19"/>
      <c r="K23" s="19"/>
      <c r="L23" s="19"/>
      <c r="M23" s="19"/>
      <c r="N23" s="19"/>
      <c r="O23" s="19"/>
    </row>
    <row r="24" spans="1:15" ht="13.9">
      <c r="A24" s="23"/>
      <c r="B24" s="38"/>
      <c r="C24" s="38"/>
      <c r="D24" s="38"/>
      <c r="E24" s="38"/>
      <c r="F24" s="38"/>
      <c r="G24" s="38"/>
      <c r="H24" s="38"/>
      <c r="I24" s="19"/>
      <c r="J24" s="19"/>
      <c r="K24" s="19"/>
      <c r="L24" s="19"/>
      <c r="M24" s="19"/>
      <c r="N24" s="19"/>
      <c r="O24" s="19"/>
    </row>
    <row r="25" spans="1:15" ht="13.9">
      <c r="A25" s="23"/>
      <c r="B25" s="38"/>
      <c r="C25" s="44"/>
      <c r="D25" s="38"/>
      <c r="E25" s="38"/>
      <c r="F25" s="38"/>
      <c r="G25" s="38"/>
      <c r="H25" s="38"/>
      <c r="I25" s="19"/>
      <c r="J25" s="19"/>
      <c r="K25" s="19"/>
      <c r="L25" s="19"/>
      <c r="M25" s="19"/>
      <c r="N25" s="19"/>
      <c r="O25" s="19"/>
    </row>
    <row r="26" spans="1:15" ht="13.9">
      <c r="A26" s="17" t="s">
        <v>6</v>
      </c>
      <c r="B26" s="17"/>
      <c r="C26" s="17"/>
      <c r="D26" s="17"/>
      <c r="E26" s="17"/>
      <c r="F26" s="17"/>
      <c r="G26" s="17"/>
      <c r="H26" s="17"/>
      <c r="I26" s="19"/>
      <c r="J26" s="17"/>
      <c r="K26" s="19"/>
      <c r="L26" s="19"/>
      <c r="M26" s="19"/>
      <c r="N26" s="19"/>
      <c r="O26" s="19"/>
    </row>
    <row r="27" spans="1:15" ht="13.9">
      <c r="A27" s="19"/>
      <c r="B27" s="169" t="s">
        <v>57</v>
      </c>
      <c r="C27" s="169"/>
      <c r="D27" s="169"/>
      <c r="E27" s="169"/>
      <c r="F27" s="19"/>
      <c r="G27" s="169" t="s">
        <v>58</v>
      </c>
      <c r="H27" s="169"/>
      <c r="I27" s="169"/>
      <c r="J27" s="19"/>
      <c r="K27" s="19"/>
      <c r="L27" s="19"/>
      <c r="M27" s="19"/>
      <c r="N27" s="19"/>
      <c r="O27" s="19"/>
    </row>
    <row r="28" spans="1:15" ht="13.9">
      <c r="A28" s="19" t="s">
        <v>17</v>
      </c>
      <c r="B28" s="21" t="s">
        <v>69</v>
      </c>
      <c r="C28" s="25"/>
      <c r="D28" s="25"/>
      <c r="E28" s="25"/>
      <c r="F28" s="25"/>
      <c r="G28" s="25"/>
      <c r="H28" s="25"/>
      <c r="I28" s="25"/>
      <c r="J28" s="21" t="s">
        <v>59</v>
      </c>
      <c r="K28" s="19"/>
      <c r="L28" s="19"/>
      <c r="M28" s="19"/>
      <c r="N28" s="19"/>
      <c r="O28" s="19"/>
    </row>
    <row r="29" spans="1:15" ht="13.9">
      <c r="A29" s="26" t="s">
        <v>60</v>
      </c>
      <c r="B29" s="28" t="s">
        <v>61</v>
      </c>
      <c r="C29" s="28" t="s">
        <v>26</v>
      </c>
      <c r="D29" s="30" t="s">
        <v>70</v>
      </c>
      <c r="E29" s="28" t="s">
        <v>82</v>
      </c>
      <c r="F29" s="29"/>
      <c r="G29" s="28" t="s">
        <v>63</v>
      </c>
      <c r="H29" s="28" t="s">
        <v>30</v>
      </c>
      <c r="I29" s="28" t="s">
        <v>62</v>
      </c>
      <c r="J29" s="28" t="s">
        <v>65</v>
      </c>
      <c r="K29" s="19"/>
      <c r="L29" s="19"/>
      <c r="M29" s="19"/>
      <c r="N29" s="19"/>
      <c r="O29" s="19"/>
    </row>
    <row r="30" spans="1:15" ht="14.45">
      <c r="A30" s="19"/>
      <c r="B30" s="174" t="s">
        <v>90</v>
      </c>
      <c r="C30" s="174"/>
      <c r="D30" s="174"/>
      <c r="E30" s="174"/>
      <c r="F30" s="174"/>
      <c r="G30" s="174"/>
      <c r="H30" s="174"/>
      <c r="I30" s="174"/>
      <c r="J30" s="174"/>
      <c r="K30" s="19"/>
      <c r="L30" s="19"/>
      <c r="M30" s="19"/>
      <c r="N30" s="19"/>
      <c r="O30" s="19"/>
    </row>
    <row r="31" spans="1:15" ht="13.9">
      <c r="A31" s="23" t="s">
        <v>34</v>
      </c>
      <c r="B31" s="100">
        <v>44.537999999999997</v>
      </c>
      <c r="C31" s="102">
        <v>399.91800000000001</v>
      </c>
      <c r="D31" s="100">
        <v>21.365218272682</v>
      </c>
      <c r="E31" s="108">
        <f>B31+C31+D31</f>
        <v>465.82121827268202</v>
      </c>
      <c r="F31" s="101"/>
      <c r="G31" s="102">
        <f>I31-H31</f>
        <v>354.93667903513006</v>
      </c>
      <c r="H31" s="102">
        <v>62.676539237551999</v>
      </c>
      <c r="I31" s="102">
        <f>E31-J31</f>
        <v>417.61321827268205</v>
      </c>
      <c r="J31" s="102">
        <v>48.207999999999998</v>
      </c>
      <c r="K31" s="19"/>
      <c r="L31" s="19"/>
      <c r="M31" s="19"/>
      <c r="N31" s="19"/>
      <c r="O31" s="19"/>
    </row>
    <row r="32" spans="1:15" ht="16.149999999999999">
      <c r="A32" s="23" t="s">
        <v>35</v>
      </c>
      <c r="B32" s="100">
        <f>J31</f>
        <v>48.207999999999998</v>
      </c>
      <c r="C32" s="102">
        <v>430</v>
      </c>
      <c r="D32" s="100">
        <v>14</v>
      </c>
      <c r="E32" s="108">
        <f>B32+C32+D32</f>
        <v>492.20799999999997</v>
      </c>
      <c r="F32" s="101"/>
      <c r="G32" s="102">
        <f>I32-H32</f>
        <v>332.20799999999997</v>
      </c>
      <c r="H32" s="102">
        <v>115</v>
      </c>
      <c r="I32" s="102">
        <f>E32-J32</f>
        <v>447.20799999999997</v>
      </c>
      <c r="J32" s="102">
        <v>45</v>
      </c>
      <c r="K32" s="19"/>
      <c r="L32" s="19"/>
      <c r="M32" s="19"/>
      <c r="N32" s="19"/>
      <c r="O32" s="19"/>
    </row>
    <row r="33" spans="1:17" ht="16.149999999999999">
      <c r="A33" s="17" t="s">
        <v>36</v>
      </c>
      <c r="B33" s="104">
        <f>J32</f>
        <v>45</v>
      </c>
      <c r="C33" s="106">
        <v>400</v>
      </c>
      <c r="D33" s="104">
        <v>14</v>
      </c>
      <c r="E33" s="109">
        <f>B33+C33+D33</f>
        <v>459</v>
      </c>
      <c r="F33" s="105"/>
      <c r="G33" s="106">
        <f>I33-H33</f>
        <v>349</v>
      </c>
      <c r="H33" s="106">
        <v>65</v>
      </c>
      <c r="I33" s="106">
        <f>E33-J33</f>
        <v>414</v>
      </c>
      <c r="J33" s="106">
        <v>45</v>
      </c>
      <c r="K33" s="19"/>
      <c r="L33" s="19"/>
      <c r="M33" s="19"/>
      <c r="N33" s="19"/>
      <c r="O33" s="19"/>
    </row>
    <row r="34" spans="1:17" ht="16.149999999999999">
      <c r="A34" s="58" t="s">
        <v>84</v>
      </c>
      <c r="B34" s="19"/>
      <c r="C34" s="98"/>
      <c r="D34" s="98"/>
      <c r="E34" s="98"/>
      <c r="F34" s="98"/>
      <c r="G34" s="98"/>
      <c r="H34" s="98"/>
      <c r="I34" s="19"/>
      <c r="J34" s="19"/>
      <c r="K34" s="19"/>
      <c r="L34" s="19"/>
      <c r="M34" s="19"/>
      <c r="N34" s="19"/>
      <c r="O34" s="19"/>
    </row>
    <row r="35" spans="1:17" ht="14.45">
      <c r="A35" s="19" t="s">
        <v>89</v>
      </c>
      <c r="B35" s="38"/>
      <c r="C35" s="44"/>
      <c r="D35" s="38"/>
      <c r="E35" s="38"/>
      <c r="F35" s="38"/>
      <c r="G35" s="38"/>
      <c r="H35" s="38"/>
      <c r="I35" s="19"/>
      <c r="J35" s="19"/>
      <c r="K35" s="19"/>
      <c r="L35" s="19"/>
      <c r="M35" s="19"/>
      <c r="N35" s="19"/>
      <c r="O35" s="19"/>
    </row>
    <row r="36" spans="1:17" ht="13.9">
      <c r="A36" s="23"/>
      <c r="B36" s="23"/>
      <c r="C36" s="23"/>
      <c r="D36" s="23"/>
      <c r="E36" s="23"/>
      <c r="F36" s="23"/>
      <c r="G36" s="23"/>
      <c r="H36" s="23"/>
      <c r="I36" s="19"/>
      <c r="J36" s="19"/>
      <c r="K36" s="19"/>
      <c r="L36" s="19"/>
      <c r="M36" s="19"/>
      <c r="N36" s="19"/>
      <c r="O36" s="19"/>
    </row>
    <row r="37" spans="1:17" ht="13.9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1:17" ht="13.9">
      <c r="A38" s="17" t="s">
        <v>7</v>
      </c>
      <c r="B38" s="17"/>
      <c r="C38" s="17"/>
      <c r="D38" s="17"/>
      <c r="E38" s="17"/>
      <c r="F38" s="17"/>
      <c r="G38" s="17"/>
      <c r="H38" s="17"/>
      <c r="I38" s="17"/>
      <c r="J38" s="19"/>
      <c r="K38" s="19"/>
      <c r="L38" s="19"/>
      <c r="M38" s="19"/>
      <c r="N38" s="19"/>
      <c r="O38" s="19"/>
    </row>
    <row r="39" spans="1:17" ht="13.9">
      <c r="A39" s="19"/>
      <c r="B39" s="169" t="s">
        <v>13</v>
      </c>
      <c r="C39" s="169"/>
      <c r="D39" s="21" t="s">
        <v>14</v>
      </c>
      <c r="E39" s="169" t="s">
        <v>15</v>
      </c>
      <c r="F39" s="169"/>
      <c r="G39" s="169"/>
      <c r="H39" s="169"/>
      <c r="I39" s="19"/>
      <c r="J39" s="169" t="s">
        <v>58</v>
      </c>
      <c r="K39" s="169"/>
      <c r="L39" s="169"/>
      <c r="M39" s="169"/>
      <c r="N39" s="169"/>
      <c r="O39" s="96"/>
    </row>
    <row r="40" spans="1:17" ht="13.9">
      <c r="A40" s="19" t="s">
        <v>17</v>
      </c>
      <c r="B40" s="21" t="s">
        <v>18</v>
      </c>
      <c r="C40" s="21" t="s">
        <v>19</v>
      </c>
      <c r="D40" s="19"/>
      <c r="E40" s="21" t="s">
        <v>69</v>
      </c>
      <c r="F40" s="21"/>
      <c r="G40" s="21"/>
      <c r="H40" s="21"/>
      <c r="I40" s="19"/>
      <c r="J40" s="110" t="s">
        <v>87</v>
      </c>
      <c r="K40" s="21"/>
      <c r="L40" s="21" t="s">
        <v>22</v>
      </c>
      <c r="M40" s="21"/>
      <c r="N40" s="21"/>
      <c r="O40" s="21" t="s">
        <v>59</v>
      </c>
    </row>
    <row r="41" spans="1:17" ht="13.9">
      <c r="A41" s="26" t="s">
        <v>77</v>
      </c>
      <c r="B41" s="27"/>
      <c r="C41" s="27"/>
      <c r="D41" s="27"/>
      <c r="E41" s="28" t="s">
        <v>61</v>
      </c>
      <c r="F41" s="28" t="s">
        <v>26</v>
      </c>
      <c r="G41" s="28" t="s">
        <v>70</v>
      </c>
      <c r="H41" s="28" t="s">
        <v>82</v>
      </c>
      <c r="I41" s="28"/>
      <c r="J41" s="28" t="s">
        <v>91</v>
      </c>
      <c r="K41" s="28" t="s">
        <v>80</v>
      </c>
      <c r="L41" s="28" t="s">
        <v>29</v>
      </c>
      <c r="M41" s="30" t="s">
        <v>30</v>
      </c>
      <c r="N41" s="28" t="s">
        <v>62</v>
      </c>
      <c r="O41" s="28" t="s">
        <v>65</v>
      </c>
    </row>
    <row r="42" spans="1:17" ht="14.45">
      <c r="A42" s="19"/>
      <c r="B42" s="172" t="s">
        <v>92</v>
      </c>
      <c r="C42" s="173"/>
      <c r="D42" s="111" t="s">
        <v>93</v>
      </c>
      <c r="E42" s="175" t="s">
        <v>94</v>
      </c>
      <c r="F42" s="174"/>
      <c r="G42" s="174"/>
      <c r="H42" s="174"/>
      <c r="I42" s="174"/>
      <c r="J42" s="174"/>
      <c r="K42" s="174"/>
      <c r="L42" s="174"/>
      <c r="M42" s="174"/>
      <c r="N42" s="174"/>
      <c r="O42" s="173"/>
    </row>
    <row r="43" spans="1:17" ht="13.9">
      <c r="A43" s="19"/>
      <c r="B43" s="21"/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1:17" ht="13.9">
      <c r="A44" s="23" t="s">
        <v>34</v>
      </c>
      <c r="B44" s="99">
        <v>1662.5</v>
      </c>
      <c r="C44" s="99">
        <v>1615.2</v>
      </c>
      <c r="D44" s="99">
        <f>F44*1000/C44</f>
        <v>3812.7476473501733</v>
      </c>
      <c r="E44" s="99">
        <v>2118.1880000000001</v>
      </c>
      <c r="F44" s="99">
        <v>6158.35</v>
      </c>
      <c r="G44" s="102">
        <v>121.04780464882167</v>
      </c>
      <c r="H44" s="99">
        <f>SUM(E44:G44)</f>
        <v>8397.5858046488229</v>
      </c>
      <c r="I44" s="99"/>
      <c r="J44" s="99">
        <v>3356.6</v>
      </c>
      <c r="K44" s="99">
        <v>872.91017669999985</v>
      </c>
      <c r="L44" s="102">
        <v>770.55509678282522</v>
      </c>
      <c r="M44" s="102">
        <v>1429.3264914515985</v>
      </c>
      <c r="N44" s="99">
        <f>H44-O44</f>
        <v>6429.4238046488226</v>
      </c>
      <c r="O44" s="99">
        <v>1968.162</v>
      </c>
    </row>
    <row r="45" spans="1:17" ht="16.149999999999999">
      <c r="A45" s="23" t="s">
        <v>35</v>
      </c>
      <c r="B45" s="99">
        <v>1585.2</v>
      </c>
      <c r="C45" s="99">
        <v>1545</v>
      </c>
      <c r="D45" s="99">
        <f>F45*1000/C45</f>
        <v>4135.46925566343</v>
      </c>
      <c r="E45" s="99">
        <f>O44</f>
        <v>1968.162</v>
      </c>
      <c r="F45" s="99">
        <v>6389.3</v>
      </c>
      <c r="G45" s="102">
        <v>107.10494398144219</v>
      </c>
      <c r="H45" s="99">
        <f>SUM(E45:G45)</f>
        <v>8464.566943981441</v>
      </c>
      <c r="I45" s="99"/>
      <c r="J45" s="99">
        <v>3313</v>
      </c>
      <c r="K45" s="99">
        <v>842.43227200000001</v>
      </c>
      <c r="L45" s="102">
        <v>766</v>
      </c>
      <c r="M45" s="102">
        <v>1182.4906945915034</v>
      </c>
      <c r="N45" s="99">
        <f>H45-O45</f>
        <v>6104.3099439814414</v>
      </c>
      <c r="O45" s="99">
        <v>2360.2570000000001</v>
      </c>
    </row>
    <row r="46" spans="1:17" ht="16.149999999999999">
      <c r="A46" s="17" t="s">
        <v>36</v>
      </c>
      <c r="B46" s="103">
        <v>1459.1</v>
      </c>
      <c r="C46" s="103">
        <v>1411.1</v>
      </c>
      <c r="D46" s="103">
        <f>F46*1000/C46</f>
        <v>4145.4893345616902</v>
      </c>
      <c r="E46" s="103">
        <f>O45</f>
        <v>2360.2570000000001</v>
      </c>
      <c r="F46" s="103">
        <v>5849.7</v>
      </c>
      <c r="G46" s="106">
        <v>110</v>
      </c>
      <c r="H46" s="103">
        <f>SUM(E46:G46)</f>
        <v>8319.9570000000003</v>
      </c>
      <c r="I46" s="103"/>
      <c r="J46" s="103">
        <v>3381</v>
      </c>
      <c r="K46" s="103">
        <v>819</v>
      </c>
      <c r="L46" s="106">
        <v>747</v>
      </c>
      <c r="M46" s="106">
        <v>1200</v>
      </c>
      <c r="N46" s="103">
        <f>H46-O46</f>
        <v>6146.9570000000003</v>
      </c>
      <c r="O46" s="103">
        <v>2173</v>
      </c>
      <c r="Q46" s="153"/>
    </row>
    <row r="47" spans="1:17" ht="16.149999999999999">
      <c r="A47" s="58" t="s">
        <v>84</v>
      </c>
      <c r="B47" s="19"/>
      <c r="C47" s="98"/>
      <c r="D47" s="98"/>
      <c r="E47" s="98"/>
      <c r="F47" s="98"/>
      <c r="G47" s="98"/>
      <c r="H47" s="98"/>
      <c r="I47" s="19"/>
      <c r="J47" s="19"/>
      <c r="K47" s="19"/>
      <c r="L47" s="19"/>
      <c r="M47" s="19"/>
      <c r="N47" s="19"/>
      <c r="O47" s="19"/>
    </row>
    <row r="48" spans="1:17" ht="14.45">
      <c r="A48" s="19" t="s">
        <v>95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1:15" ht="14.45">
      <c r="A49" s="19" t="s">
        <v>86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1:15" ht="13.9">
      <c r="A50" s="25" t="s">
        <v>56</v>
      </c>
      <c r="B50" s="112">
        <f ca="1">NOW()</f>
        <v>44818.289790162038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 ht="44.45" customHeight="1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 ht="15.6">
      <c r="G52" s="84"/>
      <c r="H52" s="84"/>
    </row>
    <row r="53" spans="1:15" ht="15.6">
      <c r="G53" s="84"/>
      <c r="H53" s="84"/>
    </row>
    <row r="54" spans="1:15" ht="15.6">
      <c r="G54" s="84"/>
      <c r="H54" s="84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13" type="noConversion"/>
  <pageMargins left="0.75" right="0.75" top="1" bottom="1" header="0.5" footer="0.5"/>
  <pageSetup scale="5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H48"/>
  <sheetViews>
    <sheetView showGridLines="0" zoomScale="70" zoomScaleNormal="70" workbookViewId="0"/>
  </sheetViews>
  <sheetFormatPr defaultColWidth="9.140625" defaultRowHeight="13.15"/>
  <cols>
    <col min="1" max="1" width="11.7109375" style="18" customWidth="1"/>
    <col min="2" max="2" width="18.85546875" style="18" bestFit="1" customWidth="1"/>
    <col min="3" max="3" width="22.140625" style="18" bestFit="1" customWidth="1"/>
    <col min="4" max="5" width="25.7109375" style="18" bestFit="1" customWidth="1"/>
    <col min="6" max="6" width="16.7109375" style="18" bestFit="1" customWidth="1"/>
    <col min="7" max="7" width="18.85546875" style="18" bestFit="1" customWidth="1"/>
    <col min="8" max="16384" width="9.140625" style="18"/>
  </cols>
  <sheetData>
    <row r="1" spans="1:8" ht="15.6" customHeight="1">
      <c r="A1" s="17" t="s">
        <v>8</v>
      </c>
      <c r="B1" s="17"/>
      <c r="C1" s="17"/>
      <c r="D1" s="17"/>
      <c r="E1" s="17"/>
      <c r="F1" s="17"/>
      <c r="G1" s="17"/>
      <c r="H1" s="59"/>
    </row>
    <row r="2" spans="1:8" ht="15.6" customHeight="1">
      <c r="A2" s="23" t="s">
        <v>96</v>
      </c>
      <c r="B2" s="40" t="s">
        <v>97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102</v>
      </c>
      <c r="H2" s="59"/>
    </row>
    <row r="3" spans="1:8" ht="15.6" customHeight="1">
      <c r="A3" s="17" t="s">
        <v>103</v>
      </c>
      <c r="B3" s="29"/>
      <c r="C3" s="65"/>
      <c r="D3" s="65"/>
      <c r="E3" s="65"/>
      <c r="F3" s="65"/>
      <c r="G3" s="65"/>
      <c r="H3" s="59"/>
    </row>
    <row r="4" spans="1:8" ht="14.45">
      <c r="A4" s="66"/>
      <c r="B4" s="67" t="s">
        <v>104</v>
      </c>
      <c r="C4" s="67" t="s">
        <v>105</v>
      </c>
      <c r="D4" s="67" t="s">
        <v>106</v>
      </c>
      <c r="E4" s="67" t="s">
        <v>106</v>
      </c>
      <c r="F4" s="67" t="s">
        <v>107</v>
      </c>
      <c r="G4" s="67" t="s">
        <v>104</v>
      </c>
      <c r="H4" s="59"/>
    </row>
    <row r="5" spans="1:8" ht="13.9">
      <c r="A5" s="19"/>
      <c r="B5" s="19"/>
      <c r="C5" s="19"/>
      <c r="D5" s="21"/>
      <c r="E5" s="19"/>
      <c r="F5" s="19"/>
      <c r="G5" s="19"/>
      <c r="H5" s="59"/>
    </row>
    <row r="6" spans="1:8" ht="13.9">
      <c r="A6" s="19" t="s">
        <v>108</v>
      </c>
      <c r="B6" s="68">
        <v>11.3</v>
      </c>
      <c r="C6" s="68">
        <v>161</v>
      </c>
      <c r="D6" s="68">
        <v>23.3</v>
      </c>
      <c r="E6" s="68">
        <v>19.3</v>
      </c>
      <c r="F6" s="68">
        <v>22.5</v>
      </c>
      <c r="G6" s="68">
        <v>12.2</v>
      </c>
      <c r="H6" s="59"/>
    </row>
    <row r="7" spans="1:8" ht="13.9">
      <c r="A7" s="19" t="s">
        <v>109</v>
      </c>
      <c r="B7" s="68">
        <v>12.5</v>
      </c>
      <c r="C7" s="68">
        <v>260</v>
      </c>
      <c r="D7" s="68">
        <v>29.1</v>
      </c>
      <c r="E7" s="68">
        <v>24</v>
      </c>
      <c r="F7" s="68">
        <v>31.8</v>
      </c>
      <c r="G7" s="68">
        <v>13.9</v>
      </c>
      <c r="H7" s="59"/>
    </row>
    <row r="8" spans="1:8" ht="13.9">
      <c r="A8" s="19" t="s">
        <v>110</v>
      </c>
      <c r="B8" s="68">
        <v>14.4</v>
      </c>
      <c r="C8" s="68">
        <v>252</v>
      </c>
      <c r="D8" s="68">
        <v>25.4</v>
      </c>
      <c r="E8" s="68">
        <v>26.5</v>
      </c>
      <c r="F8" s="68">
        <v>30.1</v>
      </c>
      <c r="G8" s="68">
        <v>13.8</v>
      </c>
      <c r="H8" s="59"/>
    </row>
    <row r="9" spans="1:8" ht="13.9">
      <c r="A9" s="19" t="s">
        <v>111</v>
      </c>
      <c r="B9" s="68">
        <v>13</v>
      </c>
      <c r="C9" s="68">
        <v>246</v>
      </c>
      <c r="D9" s="68">
        <v>21.4</v>
      </c>
      <c r="E9" s="68">
        <v>20.6</v>
      </c>
      <c r="F9" s="68">
        <v>24.9</v>
      </c>
      <c r="G9" s="68">
        <v>13.8</v>
      </c>
      <c r="H9" s="59"/>
    </row>
    <row r="10" spans="1:8" ht="13.9">
      <c r="A10" s="19" t="s">
        <v>112</v>
      </c>
      <c r="B10" s="68">
        <v>10.1</v>
      </c>
      <c r="C10" s="68">
        <v>194</v>
      </c>
      <c r="D10" s="68">
        <v>21.7</v>
      </c>
      <c r="E10" s="68">
        <v>16.899999999999999</v>
      </c>
      <c r="F10" s="68">
        <v>22</v>
      </c>
      <c r="G10" s="68">
        <v>11.8</v>
      </c>
      <c r="H10" s="59"/>
    </row>
    <row r="11" spans="1:8" ht="13.9">
      <c r="A11" s="19" t="s">
        <v>113</v>
      </c>
      <c r="B11" s="68">
        <v>8.9499999999999993</v>
      </c>
      <c r="C11" s="68">
        <v>227</v>
      </c>
      <c r="D11" s="68">
        <v>19.600000000000001</v>
      </c>
      <c r="E11" s="68">
        <v>15.6</v>
      </c>
      <c r="F11" s="68">
        <v>19.3</v>
      </c>
      <c r="G11" s="68">
        <v>8.9499999999999993</v>
      </c>
      <c r="H11" s="59"/>
    </row>
    <row r="12" spans="1:8" ht="13.9">
      <c r="A12" s="19" t="s">
        <v>114</v>
      </c>
      <c r="B12" s="68">
        <v>9.4700000000000006</v>
      </c>
      <c r="C12" s="68">
        <v>195</v>
      </c>
      <c r="D12" s="68">
        <v>17.399999999999999</v>
      </c>
      <c r="E12" s="68">
        <v>16.600000000000001</v>
      </c>
      <c r="F12" s="68">
        <v>19.7</v>
      </c>
      <c r="G12" s="68">
        <v>8</v>
      </c>
      <c r="H12" s="59"/>
    </row>
    <row r="13" spans="1:8" ht="13.9">
      <c r="A13" s="19" t="s">
        <v>115</v>
      </c>
      <c r="B13" s="68">
        <v>9.33</v>
      </c>
      <c r="C13" s="68">
        <v>142</v>
      </c>
      <c r="D13" s="68">
        <v>17.2</v>
      </c>
      <c r="E13" s="68">
        <v>17.5</v>
      </c>
      <c r="F13" s="68">
        <v>22.9</v>
      </c>
      <c r="G13" s="68">
        <v>9.5299999999999994</v>
      </c>
      <c r="H13" s="59"/>
    </row>
    <row r="14" spans="1:8" ht="13.9">
      <c r="A14" s="19" t="s">
        <v>116</v>
      </c>
      <c r="B14" s="68">
        <v>8.48</v>
      </c>
      <c r="C14" s="68">
        <v>155</v>
      </c>
      <c r="D14" s="68">
        <v>17.399999999999999</v>
      </c>
      <c r="E14" s="68">
        <v>15.8</v>
      </c>
      <c r="F14" s="68">
        <v>21.5</v>
      </c>
      <c r="G14" s="68">
        <v>9.89</v>
      </c>
      <c r="H14" s="59"/>
    </row>
    <row r="15" spans="1:8" ht="13.9">
      <c r="A15" s="19" t="s">
        <v>117</v>
      </c>
      <c r="B15" s="68">
        <v>8.57</v>
      </c>
      <c r="C15" s="68">
        <v>161</v>
      </c>
      <c r="D15" s="68">
        <v>19.5</v>
      </c>
      <c r="E15" s="68">
        <v>14.8</v>
      </c>
      <c r="F15" s="68">
        <v>20.5</v>
      </c>
      <c r="G15" s="68">
        <v>9.15</v>
      </c>
      <c r="H15" s="59"/>
    </row>
    <row r="16" spans="1:8" ht="13.9">
      <c r="A16" s="19" t="s">
        <v>34</v>
      </c>
      <c r="B16" s="68">
        <v>10.8</v>
      </c>
      <c r="C16" s="68">
        <v>194</v>
      </c>
      <c r="D16" s="68">
        <v>21.3</v>
      </c>
      <c r="E16" s="68">
        <v>18.400000000000002</v>
      </c>
      <c r="F16" s="68">
        <v>21</v>
      </c>
      <c r="G16" s="68">
        <v>11.1</v>
      </c>
      <c r="H16" s="59"/>
    </row>
    <row r="17" spans="1:8" ht="16.149999999999999">
      <c r="A17" s="19" t="s">
        <v>118</v>
      </c>
      <c r="B17" s="68">
        <v>13.3</v>
      </c>
      <c r="C17" s="68">
        <v>242</v>
      </c>
      <c r="D17" s="68">
        <v>32.9</v>
      </c>
      <c r="E17" s="68">
        <v>32.9</v>
      </c>
      <c r="F17" s="68">
        <v>24.3</v>
      </c>
      <c r="G17" s="68">
        <v>25.9</v>
      </c>
      <c r="H17" s="59"/>
    </row>
    <row r="18" spans="1:8" ht="16.149999999999999">
      <c r="A18" s="19" t="s">
        <v>119</v>
      </c>
      <c r="B18" s="68">
        <v>14.35</v>
      </c>
      <c r="C18" s="68">
        <v>300</v>
      </c>
      <c r="D18" s="68">
        <v>33.300000000000004</v>
      </c>
      <c r="E18" s="68">
        <v>32.4</v>
      </c>
      <c r="F18" s="68">
        <v>26.5</v>
      </c>
      <c r="G18" s="68">
        <v>22.9544</v>
      </c>
      <c r="H18" s="59"/>
    </row>
    <row r="19" spans="1:8" ht="13.9">
      <c r="A19" s="23"/>
      <c r="B19" s="69"/>
      <c r="C19" s="70"/>
      <c r="D19" s="71"/>
      <c r="E19" s="71"/>
      <c r="F19" s="72"/>
      <c r="G19" s="73"/>
      <c r="H19" s="60"/>
    </row>
    <row r="20" spans="1:8" ht="13.9">
      <c r="A20" s="74" t="s">
        <v>34</v>
      </c>
      <c r="B20" s="68"/>
      <c r="C20" s="68"/>
      <c r="D20" s="68"/>
      <c r="E20" s="68"/>
      <c r="F20" s="68"/>
      <c r="G20" s="68"/>
    </row>
    <row r="21" spans="1:8" ht="13.9">
      <c r="A21" s="23" t="s">
        <v>37</v>
      </c>
      <c r="B21" s="68">
        <v>9.24</v>
      </c>
      <c r="C21" s="68">
        <v>164</v>
      </c>
      <c r="D21" s="68">
        <v>23.7</v>
      </c>
      <c r="E21" s="68">
        <v>16.399999999999999</v>
      </c>
      <c r="F21" s="68">
        <v>20.5</v>
      </c>
      <c r="G21" s="68">
        <v>9.64</v>
      </c>
    </row>
    <row r="22" spans="1:8" ht="13.9">
      <c r="A22" s="23" t="s">
        <v>38</v>
      </c>
      <c r="B22" s="68">
        <v>9.6300000000000008</v>
      </c>
      <c r="C22" s="68">
        <v>189</v>
      </c>
      <c r="D22" s="68">
        <v>19.100000000000001</v>
      </c>
      <c r="E22" s="68">
        <v>16.2</v>
      </c>
      <c r="F22" s="68">
        <v>20.9</v>
      </c>
      <c r="G22" s="68">
        <v>9.76</v>
      </c>
    </row>
    <row r="23" spans="1:8" ht="13.9">
      <c r="A23" s="23" t="s">
        <v>39</v>
      </c>
      <c r="B23" s="68">
        <v>10.3</v>
      </c>
      <c r="C23" s="68">
        <v>199</v>
      </c>
      <c r="D23" s="68">
        <v>18.899999999999999</v>
      </c>
      <c r="E23" s="68">
        <v>18.100000000000001</v>
      </c>
      <c r="F23" s="68">
        <v>21.2</v>
      </c>
      <c r="G23" s="68">
        <v>10.7</v>
      </c>
    </row>
    <row r="24" spans="1:8" ht="13.9">
      <c r="A24" s="23" t="s">
        <v>41</v>
      </c>
      <c r="B24" s="68">
        <v>10.6</v>
      </c>
      <c r="C24" s="68">
        <v>195</v>
      </c>
      <c r="D24" s="68">
        <v>19.2</v>
      </c>
      <c r="E24" s="68">
        <v>17.2</v>
      </c>
      <c r="F24" s="68">
        <v>20.399999999999999</v>
      </c>
      <c r="G24" s="68">
        <v>10.9</v>
      </c>
    </row>
    <row r="25" spans="1:8" ht="13.9">
      <c r="A25" s="23" t="s">
        <v>42</v>
      </c>
      <c r="B25" s="68">
        <v>10.9</v>
      </c>
      <c r="C25" s="68">
        <v>209</v>
      </c>
      <c r="D25" s="68">
        <v>19.5</v>
      </c>
      <c r="E25" s="68">
        <v>18.8</v>
      </c>
      <c r="F25" s="68">
        <v>20.5</v>
      </c>
      <c r="G25" s="68">
        <v>12</v>
      </c>
    </row>
    <row r="26" spans="1:8" ht="13.9">
      <c r="A26" s="23" t="s">
        <v>43</v>
      </c>
      <c r="B26" s="68">
        <v>12.7</v>
      </c>
      <c r="C26" s="68">
        <v>185</v>
      </c>
      <c r="D26" s="68">
        <v>21.4</v>
      </c>
      <c r="E26" s="68">
        <v>20.399999999999999</v>
      </c>
      <c r="F26" s="68">
        <v>20.5</v>
      </c>
      <c r="G26" s="68">
        <v>13.2</v>
      </c>
    </row>
    <row r="27" spans="1:8" ht="13.9">
      <c r="A27" s="23" t="s">
        <v>45</v>
      </c>
      <c r="B27" s="68">
        <v>13.2</v>
      </c>
      <c r="C27" s="68" t="s">
        <v>75</v>
      </c>
      <c r="D27" s="68">
        <v>21.5</v>
      </c>
      <c r="E27" s="68">
        <v>22</v>
      </c>
      <c r="F27" s="68">
        <v>21.2</v>
      </c>
      <c r="G27" s="68">
        <v>15.7</v>
      </c>
    </row>
    <row r="28" spans="1:8" ht="13.9">
      <c r="A28" s="23" t="s">
        <v>46</v>
      </c>
      <c r="B28" s="68">
        <v>13.9</v>
      </c>
      <c r="C28" s="68" t="s">
        <v>75</v>
      </c>
      <c r="D28" s="68">
        <v>23.7</v>
      </c>
      <c r="E28" s="68">
        <v>23.8</v>
      </c>
      <c r="F28" s="68">
        <v>21.4</v>
      </c>
      <c r="G28" s="68">
        <v>18.100000000000001</v>
      </c>
    </row>
    <row r="29" spans="1:8" ht="13.9">
      <c r="A29" s="23" t="s">
        <v>47</v>
      </c>
      <c r="B29" s="68">
        <v>14.8</v>
      </c>
      <c r="C29" s="68" t="s">
        <v>75</v>
      </c>
      <c r="D29" s="68">
        <v>26.4</v>
      </c>
      <c r="E29" s="68">
        <v>26.1</v>
      </c>
      <c r="F29" s="68">
        <v>21.3</v>
      </c>
      <c r="G29" s="68">
        <v>18.3</v>
      </c>
    </row>
    <row r="30" spans="1:8" ht="13.9">
      <c r="A30" s="23" t="s">
        <v>49</v>
      </c>
      <c r="B30" s="68">
        <v>14.5</v>
      </c>
      <c r="C30" s="68" t="s">
        <v>75</v>
      </c>
      <c r="D30" s="68">
        <v>28.4</v>
      </c>
      <c r="E30" s="68">
        <v>26</v>
      </c>
      <c r="F30" s="68">
        <v>21.3</v>
      </c>
      <c r="G30" s="68">
        <v>19.899999999999999</v>
      </c>
    </row>
    <row r="31" spans="1:8" ht="13.9">
      <c r="A31" s="23" t="s">
        <v>50</v>
      </c>
      <c r="B31" s="68">
        <v>14.1</v>
      </c>
      <c r="C31" s="68" t="s">
        <v>75</v>
      </c>
      <c r="D31" s="68">
        <v>28</v>
      </c>
      <c r="E31" s="68">
        <v>27.7</v>
      </c>
      <c r="F31" s="68">
        <v>21.6</v>
      </c>
      <c r="G31" s="68">
        <v>20.100000000000001</v>
      </c>
    </row>
    <row r="32" spans="1:8" ht="13.9">
      <c r="A32" s="23" t="s">
        <v>51</v>
      </c>
      <c r="B32" s="68">
        <v>13.7</v>
      </c>
      <c r="C32" s="68">
        <v>255</v>
      </c>
      <c r="D32" s="68">
        <v>29.4</v>
      </c>
      <c r="E32" s="68">
        <v>30.9</v>
      </c>
      <c r="F32" s="68">
        <v>21.3</v>
      </c>
      <c r="G32" s="68">
        <v>20.2</v>
      </c>
    </row>
    <row r="33" spans="1:7" ht="13.9">
      <c r="A33" s="23"/>
      <c r="B33" s="127"/>
      <c r="C33" s="127"/>
      <c r="D33" s="127"/>
      <c r="E33" s="127"/>
      <c r="F33" s="127"/>
      <c r="G33" s="127"/>
    </row>
    <row r="34" spans="1:7" ht="13.9">
      <c r="A34" s="74" t="s">
        <v>53</v>
      </c>
      <c r="B34" s="68"/>
      <c r="C34" s="68"/>
      <c r="D34" s="68"/>
      <c r="E34" s="68"/>
      <c r="F34" s="68"/>
      <c r="G34" s="68"/>
    </row>
    <row r="35" spans="1:7" ht="13.9">
      <c r="A35" s="23" t="s">
        <v>37</v>
      </c>
      <c r="B35" s="68">
        <v>12.2</v>
      </c>
      <c r="C35" s="68">
        <v>235</v>
      </c>
      <c r="D35" s="68">
        <v>30.7</v>
      </c>
      <c r="E35" s="68">
        <v>28.7</v>
      </c>
      <c r="F35" s="68">
        <v>22.3</v>
      </c>
      <c r="G35" s="68">
        <v>19.8</v>
      </c>
    </row>
    <row r="36" spans="1:7" ht="13.9">
      <c r="A36" s="23" t="s">
        <v>38</v>
      </c>
      <c r="B36" s="68">
        <v>11.9</v>
      </c>
      <c r="C36" s="68">
        <v>244</v>
      </c>
      <c r="D36" s="68">
        <v>30.5</v>
      </c>
      <c r="E36" s="68">
        <v>29.5</v>
      </c>
      <c r="F36" s="68">
        <v>24</v>
      </c>
      <c r="G36" s="68">
        <v>25.1</v>
      </c>
    </row>
    <row r="37" spans="1:7" ht="13.9">
      <c r="A37" s="23" t="s">
        <v>39</v>
      </c>
      <c r="B37" s="68">
        <v>12.2</v>
      </c>
      <c r="C37" s="68">
        <v>244</v>
      </c>
      <c r="D37" s="68">
        <v>30.2</v>
      </c>
      <c r="E37" s="68">
        <v>31.7</v>
      </c>
      <c r="F37" s="68">
        <v>25.4</v>
      </c>
      <c r="G37" s="68">
        <v>26.1</v>
      </c>
    </row>
    <row r="38" spans="1:7" ht="13.9">
      <c r="A38" s="23" t="s">
        <v>41</v>
      </c>
      <c r="B38" s="68">
        <v>12.5</v>
      </c>
      <c r="C38" s="68">
        <v>239</v>
      </c>
      <c r="D38" s="68">
        <v>31.7</v>
      </c>
      <c r="E38" s="68">
        <v>32.5</v>
      </c>
      <c r="F38" s="68">
        <v>24</v>
      </c>
      <c r="G38" s="68">
        <v>31.4</v>
      </c>
    </row>
    <row r="39" spans="1:7" ht="13.9">
      <c r="A39" s="23" t="s">
        <v>42</v>
      </c>
      <c r="B39" s="68">
        <v>12.9</v>
      </c>
      <c r="C39" s="68">
        <v>241</v>
      </c>
      <c r="D39" s="68">
        <v>31</v>
      </c>
      <c r="E39" s="68">
        <v>33.700000000000003</v>
      </c>
      <c r="F39" s="68">
        <v>26.1</v>
      </c>
      <c r="G39" s="68">
        <v>31</v>
      </c>
    </row>
    <row r="40" spans="1:7" ht="13.9">
      <c r="A40" s="23" t="s">
        <v>43</v>
      </c>
      <c r="B40" s="68">
        <v>14.8</v>
      </c>
      <c r="C40" s="68">
        <v>255</v>
      </c>
      <c r="D40" s="68">
        <v>32.1</v>
      </c>
      <c r="E40" s="68">
        <v>37</v>
      </c>
      <c r="F40" s="68">
        <v>24.5</v>
      </c>
      <c r="G40" s="68">
        <v>31.1</v>
      </c>
    </row>
    <row r="41" spans="1:7" ht="13.9">
      <c r="A41" s="23" t="s">
        <v>45</v>
      </c>
      <c r="B41" s="68">
        <v>15.4</v>
      </c>
      <c r="C41" s="68" t="s">
        <v>75</v>
      </c>
      <c r="D41" s="68">
        <v>33.9</v>
      </c>
      <c r="E41" s="68">
        <v>39.1</v>
      </c>
      <c r="F41" s="68">
        <v>25</v>
      </c>
      <c r="G41" s="68">
        <v>29.1</v>
      </c>
    </row>
    <row r="42" spans="1:7" ht="13.9">
      <c r="A42" s="23" t="s">
        <v>46</v>
      </c>
      <c r="B42" s="68">
        <v>15.8</v>
      </c>
      <c r="C42" s="68" t="s">
        <v>75</v>
      </c>
      <c r="D42" s="68">
        <v>37.1</v>
      </c>
      <c r="E42" s="68">
        <v>41.3</v>
      </c>
      <c r="F42" s="68">
        <v>24.7</v>
      </c>
      <c r="G42" s="68">
        <v>30.3</v>
      </c>
    </row>
    <row r="43" spans="1:7" ht="13.9">
      <c r="A43" s="23" t="s">
        <v>47</v>
      </c>
      <c r="B43" s="68">
        <v>16.100000000000001</v>
      </c>
      <c r="C43" s="68" t="s">
        <v>75</v>
      </c>
      <c r="D43" s="68">
        <v>40.200000000000003</v>
      </c>
      <c r="E43" s="68">
        <v>42.9</v>
      </c>
      <c r="F43" s="68">
        <v>25.3</v>
      </c>
      <c r="G43" s="68">
        <v>29.7</v>
      </c>
    </row>
    <row r="44" spans="1:7" ht="13.9">
      <c r="A44" s="23" t="s">
        <v>49</v>
      </c>
      <c r="B44" s="68">
        <v>16.399999999999999</v>
      </c>
      <c r="C44" s="68" t="s">
        <v>75</v>
      </c>
      <c r="D44" s="68">
        <v>40.200000000000003</v>
      </c>
      <c r="E44" s="68">
        <v>45.6</v>
      </c>
      <c r="F44" s="68">
        <v>25.2</v>
      </c>
      <c r="G44" s="68">
        <v>23.9</v>
      </c>
    </row>
    <row r="45" spans="1:7" ht="13.9">
      <c r="A45" s="17" t="s">
        <v>50</v>
      </c>
      <c r="B45" s="16">
        <v>15.5</v>
      </c>
      <c r="C45" s="16">
        <v>360</v>
      </c>
      <c r="D45" s="16">
        <v>36.200000000000003</v>
      </c>
      <c r="E45" s="16">
        <v>42.7</v>
      </c>
      <c r="F45" s="16">
        <v>25.3</v>
      </c>
      <c r="G45" s="16">
        <v>24.2</v>
      </c>
    </row>
    <row r="46" spans="1:7" ht="16.149999999999999">
      <c r="A46" s="19" t="s">
        <v>120</v>
      </c>
      <c r="B46" s="19"/>
      <c r="C46" s="19"/>
      <c r="D46" s="19"/>
      <c r="E46" s="19"/>
      <c r="F46" s="19"/>
      <c r="G46" s="19"/>
    </row>
    <row r="47" spans="1:7" ht="14.45">
      <c r="A47" s="19" t="s">
        <v>121</v>
      </c>
      <c r="B47" s="19"/>
      <c r="C47" s="19"/>
      <c r="D47" s="19"/>
      <c r="E47" s="19"/>
      <c r="F47" s="19"/>
      <c r="G47" s="19"/>
    </row>
    <row r="48" spans="1:7" ht="13.9">
      <c r="A48" s="25" t="s">
        <v>56</v>
      </c>
      <c r="B48" s="50">
        <f ca="1">NOW()</f>
        <v>44818.289790162038</v>
      </c>
      <c r="C48" s="19"/>
      <c r="D48" s="19"/>
      <c r="E48" s="19"/>
      <c r="F48" s="19"/>
      <c r="G48" s="19"/>
    </row>
  </sheetData>
  <phoneticPr fontId="13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N69"/>
  <sheetViews>
    <sheetView showGridLines="0" zoomScale="70" zoomScaleNormal="70" workbookViewId="0"/>
  </sheetViews>
  <sheetFormatPr defaultColWidth="9.140625" defaultRowHeight="13.15"/>
  <cols>
    <col min="1" max="2" width="11.7109375" style="18" customWidth="1"/>
    <col min="3" max="3" width="11.5703125" style="18" customWidth="1"/>
    <col min="4" max="4" width="13.7109375" style="18" customWidth="1"/>
    <col min="5" max="5" width="11.7109375" style="18" customWidth="1"/>
    <col min="6" max="6" width="11.5703125" style="18" bestFit="1" customWidth="1"/>
    <col min="7" max="7" width="10.7109375" style="18" customWidth="1"/>
    <col min="8" max="8" width="12" style="18" customWidth="1"/>
    <col min="9" max="9" width="13.42578125" style="18" customWidth="1"/>
    <col min="10" max="16384" width="9.140625" style="18"/>
  </cols>
  <sheetData>
    <row r="1" spans="1:9" ht="13.9">
      <c r="A1" s="17" t="s">
        <v>9</v>
      </c>
      <c r="B1" s="17"/>
      <c r="C1" s="17"/>
      <c r="D1" s="17"/>
      <c r="E1" s="17"/>
      <c r="F1" s="17"/>
      <c r="G1" s="17"/>
      <c r="H1" s="17"/>
      <c r="I1" s="19"/>
    </row>
    <row r="2" spans="1:9" ht="15.6" customHeight="1">
      <c r="A2" s="75" t="s">
        <v>96</v>
      </c>
      <c r="B2" s="40" t="s">
        <v>122</v>
      </c>
      <c r="C2" s="40" t="s">
        <v>123</v>
      </c>
      <c r="D2" s="40" t="s">
        <v>124</v>
      </c>
      <c r="E2" s="76" t="s">
        <v>125</v>
      </c>
      <c r="F2" s="76" t="s">
        <v>126</v>
      </c>
      <c r="G2" s="40" t="s">
        <v>127</v>
      </c>
      <c r="H2" s="40" t="s">
        <v>128</v>
      </c>
      <c r="I2" s="77" t="s">
        <v>129</v>
      </c>
    </row>
    <row r="3" spans="1:9" ht="15.6" customHeight="1">
      <c r="A3" s="78" t="s">
        <v>103</v>
      </c>
      <c r="B3" s="28" t="s">
        <v>130</v>
      </c>
      <c r="C3" s="28" t="s">
        <v>131</v>
      </c>
      <c r="D3" s="28" t="s">
        <v>132</v>
      </c>
      <c r="E3" s="28" t="s">
        <v>132</v>
      </c>
      <c r="F3" s="28" t="s">
        <v>133</v>
      </c>
      <c r="G3" s="28" t="s">
        <v>134</v>
      </c>
      <c r="H3" s="28"/>
      <c r="I3" s="28" t="s">
        <v>135</v>
      </c>
    </row>
    <row r="4" spans="1:9" ht="14.45">
      <c r="A4" s="79" t="s">
        <v>136</v>
      </c>
      <c r="C4" s="80"/>
      <c r="D4" s="80"/>
      <c r="E4" s="80"/>
      <c r="F4" s="80"/>
      <c r="G4" s="80"/>
      <c r="H4" s="80"/>
      <c r="I4" s="80"/>
    </row>
    <row r="5" spans="1:9" ht="13.9">
      <c r="A5" s="19"/>
      <c r="B5" s="19"/>
      <c r="C5" s="19"/>
      <c r="D5" s="19"/>
      <c r="E5" s="19"/>
      <c r="F5" s="19"/>
      <c r="G5" s="19"/>
      <c r="H5" s="19"/>
      <c r="I5" s="19"/>
    </row>
    <row r="6" spans="1:9" ht="13.9">
      <c r="A6" s="19" t="s">
        <v>108</v>
      </c>
      <c r="B6" s="68">
        <v>53.2</v>
      </c>
      <c r="C6" s="68">
        <v>54.5</v>
      </c>
      <c r="D6" s="68">
        <v>86.12</v>
      </c>
      <c r="E6" s="68">
        <v>58.68</v>
      </c>
      <c r="F6" s="68">
        <v>77.239999999999995</v>
      </c>
      <c r="G6" s="68">
        <v>60.76</v>
      </c>
      <c r="H6" s="68">
        <v>51.52</v>
      </c>
      <c r="I6" s="68">
        <v>51.34</v>
      </c>
    </row>
    <row r="7" spans="1:9" ht="13.9">
      <c r="A7" s="19" t="s">
        <v>109</v>
      </c>
      <c r="B7" s="68">
        <v>51.9</v>
      </c>
      <c r="C7" s="68">
        <v>53.22</v>
      </c>
      <c r="D7" s="68">
        <v>83.2</v>
      </c>
      <c r="E7" s="68">
        <v>57.19</v>
      </c>
      <c r="F7" s="68">
        <v>100.15</v>
      </c>
      <c r="G7" s="68">
        <v>56.09</v>
      </c>
      <c r="H7" s="68">
        <v>48.11</v>
      </c>
      <c r="I7" s="68">
        <v>50.33</v>
      </c>
    </row>
    <row r="8" spans="1:9" ht="13.9">
      <c r="A8" s="19" t="s">
        <v>110</v>
      </c>
      <c r="B8" s="68">
        <v>47.13</v>
      </c>
      <c r="C8" s="68">
        <v>48.6</v>
      </c>
      <c r="D8" s="68">
        <v>65.87</v>
      </c>
      <c r="E8" s="68">
        <v>56.17</v>
      </c>
      <c r="F8" s="68">
        <v>91.83</v>
      </c>
      <c r="G8" s="68">
        <v>46.66</v>
      </c>
      <c r="H8" s="68">
        <v>51.8</v>
      </c>
      <c r="I8" s="68">
        <v>43.24</v>
      </c>
    </row>
    <row r="9" spans="1:9" ht="13.9">
      <c r="A9" s="19" t="s">
        <v>111</v>
      </c>
      <c r="B9" s="68">
        <v>38.229999999999997</v>
      </c>
      <c r="C9" s="68">
        <v>60.66</v>
      </c>
      <c r="D9" s="68">
        <v>59.12</v>
      </c>
      <c r="E9" s="68">
        <v>43.7</v>
      </c>
      <c r="F9" s="68">
        <v>68.23</v>
      </c>
      <c r="G9" s="68">
        <v>39.43</v>
      </c>
      <c r="H9" s="68">
        <v>43.93</v>
      </c>
      <c r="I9" s="68">
        <v>39.76</v>
      </c>
    </row>
    <row r="10" spans="1:9" ht="13.9">
      <c r="A10" s="19" t="s">
        <v>112</v>
      </c>
      <c r="B10" s="68">
        <v>31.6</v>
      </c>
      <c r="C10" s="68">
        <v>45.74</v>
      </c>
      <c r="D10" s="68">
        <v>66.72</v>
      </c>
      <c r="E10" s="68">
        <v>37.81</v>
      </c>
      <c r="F10" s="68">
        <v>57.96</v>
      </c>
      <c r="G10" s="68">
        <v>37.479999999999997</v>
      </c>
      <c r="H10" s="68">
        <v>33.43</v>
      </c>
      <c r="I10" s="68">
        <v>31.36</v>
      </c>
    </row>
    <row r="11" spans="1:9" ht="13.9">
      <c r="A11" s="19" t="s">
        <v>113</v>
      </c>
      <c r="B11" s="68">
        <v>29.86</v>
      </c>
      <c r="C11" s="68">
        <v>45.87</v>
      </c>
      <c r="D11" s="68">
        <v>57.81</v>
      </c>
      <c r="E11" s="68">
        <v>35.270000000000003</v>
      </c>
      <c r="F11" s="68">
        <v>58.26</v>
      </c>
      <c r="G11" s="68">
        <v>39.25</v>
      </c>
      <c r="H11" s="68">
        <v>32.229999999999997</v>
      </c>
      <c r="I11" s="68">
        <v>30.07</v>
      </c>
    </row>
    <row r="12" spans="1:9" ht="13.9">
      <c r="A12" s="19" t="s">
        <v>114</v>
      </c>
      <c r="B12" s="68">
        <v>32.549999999999997</v>
      </c>
      <c r="C12" s="68">
        <v>40.92</v>
      </c>
      <c r="D12" s="68">
        <v>53.54</v>
      </c>
      <c r="E12" s="68">
        <v>38.729999999999997</v>
      </c>
      <c r="F12" s="68">
        <v>66.73</v>
      </c>
      <c r="G12" s="68">
        <v>37.43</v>
      </c>
      <c r="H12" s="68">
        <v>33.07</v>
      </c>
      <c r="I12" s="68">
        <v>34.75</v>
      </c>
    </row>
    <row r="13" spans="1:9" ht="13.9">
      <c r="A13" s="19" t="s">
        <v>115</v>
      </c>
      <c r="B13" s="68">
        <v>30.04</v>
      </c>
      <c r="C13" s="68">
        <v>31.87</v>
      </c>
      <c r="D13" s="68">
        <v>54.57</v>
      </c>
      <c r="E13" s="68">
        <v>38.270000000000003</v>
      </c>
      <c r="F13" s="68">
        <v>66.72</v>
      </c>
      <c r="G13" s="68">
        <v>30.35</v>
      </c>
      <c r="H13" s="68">
        <v>34.159999999999997</v>
      </c>
      <c r="I13" s="68">
        <v>31.21</v>
      </c>
    </row>
    <row r="14" spans="1:9" ht="13.9">
      <c r="A14" s="19" t="s">
        <v>116</v>
      </c>
      <c r="B14" s="68">
        <v>28.26</v>
      </c>
      <c r="C14" s="68">
        <v>35.14</v>
      </c>
      <c r="D14" s="68">
        <v>53.28</v>
      </c>
      <c r="E14" s="68">
        <v>36.090000000000003</v>
      </c>
      <c r="F14" s="68">
        <v>64.72</v>
      </c>
      <c r="G14" s="68">
        <v>26.93</v>
      </c>
      <c r="H14" s="68">
        <v>31.65</v>
      </c>
      <c r="I14" s="68">
        <v>33.11</v>
      </c>
    </row>
    <row r="15" spans="1:9" ht="13.9">
      <c r="A15" s="19" t="s">
        <v>117</v>
      </c>
      <c r="B15" s="68">
        <v>29.65</v>
      </c>
      <c r="C15" s="68">
        <v>40.18</v>
      </c>
      <c r="D15" s="68">
        <v>65.03</v>
      </c>
      <c r="E15" s="68">
        <v>37.869999999999997</v>
      </c>
      <c r="F15" s="68">
        <v>62</v>
      </c>
      <c r="G15" s="68">
        <v>39.47</v>
      </c>
      <c r="H15" s="68">
        <v>35.75</v>
      </c>
      <c r="I15" s="68">
        <v>38.369999999999997</v>
      </c>
    </row>
    <row r="16" spans="1:9" ht="13.9">
      <c r="A16" s="19" t="s">
        <v>34</v>
      </c>
      <c r="B16" s="68">
        <v>56.87</v>
      </c>
      <c r="C16" s="68">
        <v>80.94</v>
      </c>
      <c r="D16" s="68">
        <v>79</v>
      </c>
      <c r="E16" s="68">
        <v>70.459999999999994</v>
      </c>
      <c r="F16" s="68">
        <v>101.4</v>
      </c>
      <c r="G16" s="68">
        <v>53.88</v>
      </c>
      <c r="H16" s="68">
        <v>55.89</v>
      </c>
      <c r="I16" s="68">
        <v>54.98</v>
      </c>
    </row>
    <row r="17" spans="1:14" ht="16.149999999999999">
      <c r="A17" s="19" t="s">
        <v>137</v>
      </c>
      <c r="B17" s="68">
        <v>73</v>
      </c>
      <c r="C17" s="68">
        <v>107</v>
      </c>
      <c r="D17" s="68">
        <v>112</v>
      </c>
      <c r="E17" s="68">
        <v>91</v>
      </c>
      <c r="F17" s="68">
        <v>107</v>
      </c>
      <c r="G17" s="68">
        <v>64</v>
      </c>
      <c r="H17" s="68">
        <v>80</v>
      </c>
      <c r="I17" s="68">
        <v>80</v>
      </c>
      <c r="J17" s="124"/>
    </row>
    <row r="18" spans="1:14" ht="16.149999999999999">
      <c r="A18" s="19" t="s">
        <v>138</v>
      </c>
      <c r="B18" s="68">
        <v>69</v>
      </c>
      <c r="C18" s="68">
        <v>85</v>
      </c>
      <c r="D18" s="68">
        <v>99</v>
      </c>
      <c r="E18" s="68">
        <v>79</v>
      </c>
      <c r="F18" s="68">
        <v>104</v>
      </c>
      <c r="G18" s="68">
        <v>57</v>
      </c>
      <c r="H18" s="68">
        <v>75</v>
      </c>
      <c r="I18" s="68">
        <v>75</v>
      </c>
      <c r="J18" s="124"/>
    </row>
    <row r="19" spans="1:14" ht="13.9">
      <c r="A19" s="19"/>
      <c r="B19" s="81"/>
      <c r="C19" s="81"/>
      <c r="D19" s="81"/>
      <c r="E19" s="81"/>
      <c r="F19" s="81"/>
      <c r="G19" s="81"/>
      <c r="H19" s="81"/>
      <c r="I19" s="81"/>
    </row>
    <row r="20" spans="1:14" ht="13.9">
      <c r="A20" s="41" t="s">
        <v>34</v>
      </c>
      <c r="B20" s="68"/>
      <c r="C20" s="68"/>
      <c r="D20" s="68"/>
      <c r="E20" s="68"/>
      <c r="F20" s="68"/>
      <c r="G20" s="68"/>
      <c r="H20" s="68"/>
      <c r="I20" s="68"/>
    </row>
    <row r="21" spans="1:14" ht="13.9">
      <c r="A21" s="23" t="s">
        <v>38</v>
      </c>
      <c r="B21" s="68">
        <v>33.909999999999997</v>
      </c>
      <c r="C21" s="68">
        <v>48.35</v>
      </c>
      <c r="D21" s="68" t="s">
        <v>75</v>
      </c>
      <c r="E21" s="68">
        <v>44.35</v>
      </c>
      <c r="F21" s="68">
        <v>93</v>
      </c>
      <c r="G21" s="68">
        <v>43.15</v>
      </c>
      <c r="H21" s="68" t="s">
        <v>75</v>
      </c>
      <c r="I21" s="68">
        <v>34.5</v>
      </c>
      <c r="K21" s="129"/>
      <c r="L21" s="131"/>
      <c r="M21" s="132"/>
      <c r="N21" s="129"/>
    </row>
    <row r="22" spans="1:14" ht="13.9">
      <c r="A22" s="23" t="s">
        <v>39</v>
      </c>
      <c r="B22" s="68">
        <v>37.79</v>
      </c>
      <c r="C22" s="68">
        <v>54.4375</v>
      </c>
      <c r="D22" s="68" t="s">
        <v>75</v>
      </c>
      <c r="E22" s="68">
        <v>49.5</v>
      </c>
      <c r="F22" s="68">
        <v>98.75</v>
      </c>
      <c r="G22" s="68">
        <v>42.53</v>
      </c>
      <c r="H22" s="68">
        <v>41</v>
      </c>
      <c r="I22" s="68">
        <v>34</v>
      </c>
      <c r="K22" s="129"/>
      <c r="L22" s="131"/>
      <c r="M22" s="129"/>
      <c r="N22" s="129"/>
    </row>
    <row r="23" spans="1:14" ht="13.9">
      <c r="A23" s="23" t="s">
        <v>41</v>
      </c>
      <c r="B23" s="68">
        <v>40.85</v>
      </c>
      <c r="C23" s="68">
        <v>59.2</v>
      </c>
      <c r="D23" s="68" t="s">
        <v>75</v>
      </c>
      <c r="E23" s="68">
        <v>51.65</v>
      </c>
      <c r="F23" s="68">
        <v>100</v>
      </c>
      <c r="G23" s="68">
        <v>41.48</v>
      </c>
      <c r="H23" s="68">
        <v>41</v>
      </c>
      <c r="I23" s="68">
        <v>36.25</v>
      </c>
      <c r="K23" s="129"/>
      <c r="L23" s="131"/>
      <c r="M23" s="129"/>
      <c r="N23" s="129"/>
    </row>
    <row r="24" spans="1:14" ht="13.9">
      <c r="A24" s="23" t="s">
        <v>42</v>
      </c>
      <c r="B24" s="68">
        <v>44.31</v>
      </c>
      <c r="C24" s="68">
        <v>63.1875</v>
      </c>
      <c r="D24" s="68" t="s">
        <v>75</v>
      </c>
      <c r="E24" s="68">
        <v>53.3125</v>
      </c>
      <c r="F24" s="68">
        <v>90</v>
      </c>
      <c r="G24" s="68">
        <v>43.337499999999999</v>
      </c>
      <c r="H24" s="68" t="s">
        <v>75</v>
      </c>
      <c r="I24" s="68">
        <v>48.129999999999995</v>
      </c>
      <c r="K24" s="129"/>
      <c r="L24" s="129"/>
      <c r="M24" s="133"/>
      <c r="N24" s="130"/>
    </row>
    <row r="25" spans="1:14" ht="13.9">
      <c r="A25" s="23" t="s">
        <v>43</v>
      </c>
      <c r="B25" s="68">
        <v>48.37</v>
      </c>
      <c r="C25" s="68">
        <v>73.625</v>
      </c>
      <c r="D25" s="68" t="s">
        <v>75</v>
      </c>
      <c r="E25" s="68">
        <v>58.9375</v>
      </c>
      <c r="F25" s="68">
        <v>93</v>
      </c>
      <c r="G25" s="68">
        <v>44.945</v>
      </c>
      <c r="H25" s="68" t="s">
        <v>75</v>
      </c>
      <c r="I25" s="68">
        <v>53.125</v>
      </c>
      <c r="K25" s="129"/>
      <c r="L25" s="129"/>
      <c r="M25" s="133"/>
      <c r="N25" s="130"/>
    </row>
    <row r="26" spans="1:14" ht="13.9">
      <c r="A26" s="23" t="s">
        <v>45</v>
      </c>
      <c r="B26" s="68">
        <v>56</v>
      </c>
      <c r="C26" s="68">
        <v>86.9375</v>
      </c>
      <c r="D26" s="68" t="s">
        <v>75</v>
      </c>
      <c r="E26" s="68">
        <v>71.3125</v>
      </c>
      <c r="F26" s="68">
        <v>105.25</v>
      </c>
      <c r="G26" s="68">
        <v>52.05</v>
      </c>
      <c r="H26" s="68">
        <v>55</v>
      </c>
      <c r="I26" s="68">
        <v>55.943333333333328</v>
      </c>
      <c r="K26" s="129"/>
      <c r="L26" s="129"/>
      <c r="M26" s="133"/>
      <c r="N26" s="130"/>
    </row>
    <row r="27" spans="1:14" ht="13.9">
      <c r="A27" s="23" t="s">
        <v>46</v>
      </c>
      <c r="B27" s="68">
        <v>62.88</v>
      </c>
      <c r="C27" s="68">
        <v>92.65</v>
      </c>
      <c r="D27" s="68">
        <v>83</v>
      </c>
      <c r="E27" s="68">
        <v>79.55</v>
      </c>
      <c r="F27" s="68">
        <v>109.2</v>
      </c>
      <c r="G27" s="68">
        <v>59.8125</v>
      </c>
      <c r="H27" s="68" t="s">
        <v>75</v>
      </c>
      <c r="I27" s="68">
        <v>59.3825</v>
      </c>
      <c r="K27" s="129"/>
      <c r="L27" s="129"/>
      <c r="M27" s="130"/>
      <c r="N27" s="130"/>
    </row>
    <row r="28" spans="1:14" ht="13.9">
      <c r="A28" s="23" t="s">
        <v>47</v>
      </c>
      <c r="B28" s="68">
        <v>74.75</v>
      </c>
      <c r="C28" s="68">
        <v>102.1875</v>
      </c>
      <c r="D28" s="68">
        <v>83</v>
      </c>
      <c r="E28" s="68">
        <v>94.0625</v>
      </c>
      <c r="F28" s="68">
        <v>110</v>
      </c>
      <c r="G28" s="68">
        <v>68.25</v>
      </c>
      <c r="H28" s="68">
        <v>58</v>
      </c>
      <c r="I28" s="68">
        <v>64.724999999999994</v>
      </c>
      <c r="J28" s="85"/>
      <c r="K28" s="129"/>
      <c r="L28" s="129"/>
      <c r="M28" s="130"/>
      <c r="N28" s="130"/>
    </row>
    <row r="29" spans="1:14" ht="13.9">
      <c r="A29" s="23" t="s">
        <v>49</v>
      </c>
      <c r="B29" s="68">
        <v>74.75</v>
      </c>
      <c r="C29" s="68">
        <v>100.6875</v>
      </c>
      <c r="D29" s="68" t="s">
        <v>75</v>
      </c>
      <c r="E29" s="68">
        <v>93.5</v>
      </c>
      <c r="F29" s="68">
        <v>108.1875</v>
      </c>
      <c r="G29" s="68">
        <v>67.599999999999994</v>
      </c>
      <c r="H29" s="68">
        <v>68</v>
      </c>
      <c r="I29" s="68">
        <v>63.666666666666664</v>
      </c>
      <c r="K29" s="129"/>
      <c r="L29" s="129"/>
      <c r="M29" s="130"/>
      <c r="N29" s="130"/>
    </row>
    <row r="30" spans="1:14" ht="13.9">
      <c r="A30" s="23" t="s">
        <v>50</v>
      </c>
      <c r="B30" s="68">
        <v>72.930000000000007</v>
      </c>
      <c r="C30" s="68">
        <v>99.9</v>
      </c>
      <c r="D30" s="68" t="s">
        <v>75</v>
      </c>
      <c r="E30" s="68">
        <v>92.3</v>
      </c>
      <c r="F30" s="68">
        <v>106</v>
      </c>
      <c r="G30" s="68">
        <v>66.094999999999999</v>
      </c>
      <c r="H30" s="68" t="s">
        <v>75</v>
      </c>
      <c r="I30" s="68">
        <v>66.333333333333329</v>
      </c>
      <c r="K30" s="129"/>
      <c r="L30" s="129"/>
      <c r="M30" s="133"/>
      <c r="N30" s="130"/>
    </row>
    <row r="31" spans="1:14" ht="13.9">
      <c r="A31" s="23" t="s">
        <v>51</v>
      </c>
      <c r="B31" s="68">
        <v>70.010000000000005</v>
      </c>
      <c r="C31" s="68">
        <v>96.5</v>
      </c>
      <c r="D31" s="68" t="s">
        <v>75</v>
      </c>
      <c r="E31" s="68">
        <v>81</v>
      </c>
      <c r="F31" s="68">
        <v>108.75</v>
      </c>
      <c r="G31" s="68">
        <v>64.156000000000006</v>
      </c>
      <c r="H31" s="68">
        <v>72.333333333333329</v>
      </c>
      <c r="I31" s="68">
        <v>72</v>
      </c>
      <c r="K31" s="129"/>
      <c r="L31" s="129"/>
      <c r="M31" s="133"/>
      <c r="N31" s="130"/>
    </row>
    <row r="32" spans="1:14" ht="13.9">
      <c r="A32" s="23" t="s">
        <v>37</v>
      </c>
      <c r="B32" s="68">
        <v>65.930000000000007</v>
      </c>
      <c r="C32" s="68">
        <v>93.625</v>
      </c>
      <c r="D32" s="68" t="s">
        <v>75</v>
      </c>
      <c r="E32" s="68">
        <v>76</v>
      </c>
      <c r="F32" s="68">
        <v>105</v>
      </c>
      <c r="G32" s="68">
        <v>53.184999999999995</v>
      </c>
      <c r="H32" s="68" t="s">
        <v>75</v>
      </c>
      <c r="I32" s="68">
        <v>71.75</v>
      </c>
      <c r="K32" s="129"/>
      <c r="L32" s="129"/>
      <c r="M32" s="133"/>
      <c r="N32" s="130"/>
    </row>
    <row r="33" spans="1:12" ht="13.9">
      <c r="A33" s="23"/>
      <c r="B33" s="68"/>
      <c r="C33" s="68"/>
      <c r="D33" s="68"/>
      <c r="E33" s="68"/>
      <c r="F33" s="68"/>
      <c r="G33" s="68"/>
      <c r="H33" s="68"/>
      <c r="I33" s="68"/>
    </row>
    <row r="34" spans="1:12" ht="13.9">
      <c r="A34" s="55" t="s">
        <v>53</v>
      </c>
      <c r="B34" s="68"/>
      <c r="C34" s="68"/>
      <c r="D34" s="68"/>
      <c r="E34" s="68"/>
      <c r="F34" s="68"/>
      <c r="G34" s="68"/>
      <c r="H34" s="68"/>
      <c r="I34" s="68"/>
      <c r="L34" s="124"/>
    </row>
    <row r="35" spans="1:12" ht="13.9">
      <c r="A35" s="23" t="s">
        <v>38</v>
      </c>
      <c r="B35" s="68">
        <v>70.42</v>
      </c>
      <c r="C35" s="68">
        <v>98.5</v>
      </c>
      <c r="D35" s="68">
        <v>129</v>
      </c>
      <c r="E35" s="68">
        <v>82.3</v>
      </c>
      <c r="F35" s="68">
        <v>101.5</v>
      </c>
      <c r="G35" s="68">
        <v>57.069999999999993</v>
      </c>
      <c r="H35" s="68" t="s">
        <v>75</v>
      </c>
      <c r="I35" s="68" t="s">
        <v>75</v>
      </c>
      <c r="K35" s="135"/>
      <c r="L35" s="134"/>
    </row>
    <row r="36" spans="1:12" ht="13.9">
      <c r="A36" s="23" t="s">
        <v>39</v>
      </c>
      <c r="B36" s="68">
        <v>66.459999999999994</v>
      </c>
      <c r="C36" s="68">
        <v>96.75</v>
      </c>
      <c r="D36" s="68">
        <v>125</v>
      </c>
      <c r="E36" s="68">
        <v>84.375</v>
      </c>
      <c r="F36" s="68">
        <v>100</v>
      </c>
      <c r="G36" s="68">
        <v>57.918000000000006</v>
      </c>
      <c r="H36" s="68" t="s">
        <v>75</v>
      </c>
      <c r="I36" s="68">
        <v>80.06</v>
      </c>
      <c r="K36" s="135"/>
      <c r="L36" s="135"/>
    </row>
    <row r="37" spans="1:12" ht="13.9">
      <c r="A37" s="23" t="s">
        <v>41</v>
      </c>
      <c r="B37" s="68">
        <v>63.69</v>
      </c>
      <c r="C37" s="68">
        <v>93.3</v>
      </c>
      <c r="D37" s="68">
        <v>125</v>
      </c>
      <c r="E37" s="68">
        <v>82.95</v>
      </c>
      <c r="F37" s="68">
        <v>100</v>
      </c>
      <c r="G37" s="68">
        <v>56.093333333333334</v>
      </c>
      <c r="H37" s="68" t="s">
        <v>75</v>
      </c>
      <c r="I37" s="68">
        <v>73</v>
      </c>
      <c r="K37" s="135"/>
      <c r="L37" s="135"/>
    </row>
    <row r="38" spans="1:12" ht="13.9">
      <c r="A38" s="23" t="s">
        <v>42</v>
      </c>
      <c r="B38" s="68">
        <v>65.7</v>
      </c>
      <c r="C38" s="68">
        <v>97.9375</v>
      </c>
      <c r="D38" s="68">
        <v>123.125</v>
      </c>
      <c r="E38" s="68">
        <v>88.5625</v>
      </c>
      <c r="F38" s="68">
        <v>103.125</v>
      </c>
      <c r="G38" s="68">
        <v>54.09</v>
      </c>
      <c r="H38" s="68" t="s">
        <v>75</v>
      </c>
      <c r="I38" s="68">
        <v>76.5</v>
      </c>
      <c r="K38" s="137"/>
    </row>
    <row r="39" spans="1:12" ht="13.9">
      <c r="A39" s="23" t="s">
        <v>43</v>
      </c>
      <c r="B39" s="68">
        <v>70.91</v>
      </c>
      <c r="C39" s="68">
        <v>101.375</v>
      </c>
      <c r="D39" s="68">
        <v>115.33333333333333</v>
      </c>
      <c r="E39" s="68">
        <v>85.875</v>
      </c>
      <c r="F39" s="68">
        <v>105</v>
      </c>
      <c r="G39" s="68">
        <v>59.29</v>
      </c>
      <c r="H39" s="68">
        <v>82</v>
      </c>
      <c r="I39" s="68">
        <v>80</v>
      </c>
    </row>
    <row r="40" spans="1:12" ht="13.9">
      <c r="A40" s="23" t="s">
        <v>45</v>
      </c>
      <c r="B40" s="68">
        <v>76.405000000000001</v>
      </c>
      <c r="C40" s="68">
        <v>114.875</v>
      </c>
      <c r="D40" s="68">
        <v>129</v>
      </c>
      <c r="E40" s="68">
        <v>92</v>
      </c>
      <c r="F40" s="68">
        <v>107.5</v>
      </c>
      <c r="G40" s="68">
        <v>67.1875</v>
      </c>
      <c r="H40" s="68" t="s">
        <v>75</v>
      </c>
      <c r="I40" s="68">
        <v>81.5</v>
      </c>
    </row>
    <row r="41" spans="1:12" ht="13.9">
      <c r="A41" s="23" t="s">
        <v>46</v>
      </c>
      <c r="B41" s="68">
        <v>83.846000000000004</v>
      </c>
      <c r="C41" s="68">
        <v>120.05</v>
      </c>
      <c r="D41" s="68">
        <v>120.4</v>
      </c>
      <c r="E41" s="68">
        <v>103.15</v>
      </c>
      <c r="F41" s="68">
        <v>115</v>
      </c>
      <c r="G41" s="68">
        <v>71.55</v>
      </c>
      <c r="H41" s="68" t="s">
        <v>75</v>
      </c>
      <c r="I41" s="68">
        <v>83.125</v>
      </c>
    </row>
    <row r="42" spans="1:12" ht="13.9">
      <c r="A42" s="23" t="s">
        <v>47</v>
      </c>
      <c r="B42" s="68">
        <v>87.385000000000005</v>
      </c>
      <c r="C42" s="68">
        <v>119.5625</v>
      </c>
      <c r="D42" s="68">
        <v>113.5</v>
      </c>
      <c r="E42" s="68">
        <v>108.6875</v>
      </c>
      <c r="F42" s="68">
        <v>116.25</v>
      </c>
      <c r="G42" s="68">
        <v>77.802499999999995</v>
      </c>
      <c r="H42" s="68" t="s">
        <v>75</v>
      </c>
      <c r="I42" s="68">
        <v>84.25</v>
      </c>
    </row>
    <row r="43" spans="1:12" ht="13.9">
      <c r="A43" s="23" t="s">
        <v>49</v>
      </c>
      <c r="B43" s="68">
        <v>80.297499999999999</v>
      </c>
      <c r="C43" s="68">
        <v>115.75</v>
      </c>
      <c r="D43" s="68">
        <v>97.75</v>
      </c>
      <c r="E43" s="68">
        <v>102.25</v>
      </c>
      <c r="F43" s="68">
        <v>116.25</v>
      </c>
      <c r="G43" s="68">
        <v>76.375</v>
      </c>
      <c r="H43" s="68" t="s">
        <v>75</v>
      </c>
      <c r="I43" s="68">
        <v>86.5</v>
      </c>
    </row>
    <row r="44" spans="1:12" ht="13.9">
      <c r="A44" s="23" t="s">
        <v>50</v>
      </c>
      <c r="B44" s="68">
        <v>67.74799999999999</v>
      </c>
      <c r="C44" s="68">
        <v>100.8</v>
      </c>
      <c r="D44" s="68">
        <v>78.2</v>
      </c>
      <c r="E44" s="68">
        <v>87.9</v>
      </c>
      <c r="F44" s="68">
        <v>103.2</v>
      </c>
      <c r="G44" s="68">
        <v>62.25</v>
      </c>
      <c r="H44" s="68" t="s">
        <v>75</v>
      </c>
      <c r="I44" s="68">
        <v>81.5</v>
      </c>
    </row>
    <row r="45" spans="1:12" ht="13.9">
      <c r="A45" s="17" t="s">
        <v>51</v>
      </c>
      <c r="B45" s="16">
        <v>72.334999999999994</v>
      </c>
      <c r="C45" s="16">
        <v>113.75</v>
      </c>
      <c r="D45" s="16">
        <v>92</v>
      </c>
      <c r="E45" s="16">
        <v>91.3125</v>
      </c>
      <c r="F45" s="16">
        <v>107.25</v>
      </c>
      <c r="G45" s="16">
        <v>65.4375</v>
      </c>
      <c r="H45" s="16" t="s">
        <v>75</v>
      </c>
      <c r="I45" s="16" t="s">
        <v>75</v>
      </c>
    </row>
    <row r="46" spans="1:12" ht="16.149999999999999">
      <c r="A46" s="58" t="s">
        <v>139</v>
      </c>
      <c r="B46" s="83"/>
      <c r="C46" s="83"/>
      <c r="D46" s="83"/>
      <c r="E46" s="83"/>
      <c r="F46" s="83"/>
      <c r="G46" s="83"/>
      <c r="H46" s="83"/>
      <c r="I46" s="83"/>
    </row>
    <row r="47" spans="1:12" ht="16.149999999999999">
      <c r="A47" s="19" t="s">
        <v>140</v>
      </c>
      <c r="B47" s="83"/>
      <c r="C47" s="83"/>
      <c r="D47" s="83"/>
      <c r="E47" s="83"/>
      <c r="F47" s="83"/>
      <c r="G47" s="83"/>
      <c r="H47" s="83"/>
      <c r="I47" s="83"/>
    </row>
    <row r="48" spans="1:12" ht="14.45">
      <c r="A48" s="19" t="s">
        <v>141</v>
      </c>
      <c r="B48" s="19"/>
      <c r="C48" s="19"/>
      <c r="D48" s="19"/>
      <c r="E48" s="19"/>
      <c r="F48" s="83"/>
      <c r="G48" s="19"/>
      <c r="H48" s="19"/>
      <c r="I48" s="19"/>
    </row>
    <row r="49" spans="1:9" ht="13.9">
      <c r="A49" s="25" t="s">
        <v>56</v>
      </c>
      <c r="B49" s="50">
        <f ca="1">NOW()</f>
        <v>44818.289790162038</v>
      </c>
      <c r="C49" s="19"/>
      <c r="D49" s="19"/>
      <c r="E49" s="19"/>
      <c r="F49" s="19"/>
      <c r="G49" s="19"/>
      <c r="H49" s="19"/>
      <c r="I49" s="19"/>
    </row>
    <row r="50" spans="1:9" ht="15.6">
      <c r="C50" s="84"/>
      <c r="G50" s="84"/>
      <c r="H50" s="84"/>
      <c r="I50" s="84"/>
    </row>
    <row r="51" spans="1:9" ht="15.6">
      <c r="B51" s="85"/>
      <c r="C51" s="85"/>
      <c r="D51" s="85"/>
      <c r="E51" s="85"/>
      <c r="F51" s="85"/>
      <c r="G51" s="85"/>
      <c r="H51" s="84"/>
      <c r="I51" s="84"/>
    </row>
    <row r="52" spans="1:9" ht="15.6">
      <c r="B52" s="136"/>
      <c r="C52" s="136"/>
      <c r="D52" s="136"/>
      <c r="E52" s="136"/>
      <c r="F52" s="136"/>
      <c r="G52" s="136"/>
      <c r="H52" s="84"/>
      <c r="I52" s="84"/>
    </row>
    <row r="53" spans="1:9" ht="15.6">
      <c r="C53" s="84"/>
      <c r="G53" s="84"/>
      <c r="H53" s="84"/>
      <c r="I53" s="84"/>
    </row>
    <row r="54" spans="1:9" ht="15.6">
      <c r="C54" s="84"/>
      <c r="G54" s="84"/>
      <c r="H54" s="84"/>
      <c r="I54" s="84"/>
    </row>
    <row r="55" spans="1:9" ht="15.6">
      <c r="C55" s="84"/>
      <c r="G55" s="84"/>
      <c r="H55" s="84"/>
      <c r="I55" s="84"/>
    </row>
    <row r="56" spans="1:9" ht="15.6">
      <c r="C56" s="84"/>
      <c r="G56" s="84"/>
      <c r="H56" s="84"/>
      <c r="I56" s="84"/>
    </row>
    <row r="57" spans="1:9" ht="15.6">
      <c r="C57" s="84"/>
      <c r="G57" s="84"/>
      <c r="H57" s="84"/>
      <c r="I57" s="84"/>
    </row>
    <row r="58" spans="1:9" ht="15.6">
      <c r="C58" s="84"/>
      <c r="G58" s="84"/>
      <c r="H58" s="84"/>
      <c r="I58" s="84"/>
    </row>
    <row r="59" spans="1:9" ht="15.6">
      <c r="C59" s="84"/>
      <c r="G59" s="84"/>
      <c r="H59" s="84"/>
      <c r="I59" s="84"/>
    </row>
    <row r="60" spans="1:9" ht="15.6">
      <c r="C60" s="84"/>
      <c r="G60" s="84"/>
      <c r="H60" s="84"/>
      <c r="I60" s="84"/>
    </row>
    <row r="61" spans="1:9" ht="15.6">
      <c r="C61" s="84"/>
      <c r="G61" s="84"/>
      <c r="H61" s="84"/>
      <c r="I61" s="84"/>
    </row>
    <row r="62" spans="1:9" ht="15.6">
      <c r="C62" s="84"/>
      <c r="G62" s="84"/>
      <c r="H62" s="84"/>
      <c r="I62" s="84"/>
    </row>
    <row r="63" spans="1:9" ht="15.6">
      <c r="C63" s="84"/>
      <c r="G63" s="84"/>
      <c r="H63" s="84"/>
      <c r="I63" s="84"/>
    </row>
    <row r="64" spans="1:9" ht="15.6">
      <c r="C64" s="84"/>
      <c r="G64" s="84"/>
      <c r="H64" s="84"/>
      <c r="I64" s="84"/>
    </row>
    <row r="65" spans="3:9" ht="15.6">
      <c r="C65" s="84"/>
      <c r="G65" s="84"/>
      <c r="H65" s="84"/>
      <c r="I65" s="84"/>
    </row>
    <row r="66" spans="3:9" ht="15.6">
      <c r="C66" s="84"/>
      <c r="H66" s="84"/>
      <c r="I66" s="84"/>
    </row>
    <row r="67" spans="3:9" ht="15.6">
      <c r="C67" s="84"/>
      <c r="H67" s="84"/>
      <c r="I67" s="84"/>
    </row>
    <row r="68" spans="3:9" ht="15.6">
      <c r="C68" s="84"/>
      <c r="F68" s="85"/>
      <c r="H68" s="84"/>
      <c r="I68" s="84"/>
    </row>
    <row r="69" spans="3:9" ht="15.6">
      <c r="F69" s="85"/>
      <c r="H69" s="84"/>
      <c r="I69" s="84"/>
    </row>
  </sheetData>
  <phoneticPr fontId="13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0"/>
  <sheetViews>
    <sheetView showGridLines="0" zoomScale="70" zoomScaleNormal="70" workbookViewId="0"/>
  </sheetViews>
  <sheetFormatPr defaultColWidth="9.140625" defaultRowHeight="13.15"/>
  <cols>
    <col min="1" max="1" width="11.7109375" style="18" customWidth="1"/>
    <col min="2" max="7" width="13.7109375" style="18" customWidth="1"/>
    <col min="8" max="8" width="10.140625" style="18" bestFit="1" customWidth="1"/>
    <col min="9" max="10" width="9.140625" style="18"/>
    <col min="11" max="11" width="8.85546875" style="18" customWidth="1"/>
    <col min="12" max="12" width="18" style="18" bestFit="1" customWidth="1"/>
    <col min="13" max="16384" width="9.140625" style="18"/>
  </cols>
  <sheetData>
    <row r="1" spans="1:28" ht="13.9">
      <c r="A1" s="17" t="s">
        <v>10</v>
      </c>
      <c r="B1" s="17"/>
      <c r="C1" s="17"/>
      <c r="D1" s="17"/>
      <c r="E1" s="17"/>
      <c r="F1" s="17"/>
      <c r="G1" s="17"/>
    </row>
    <row r="2" spans="1:28" ht="15.6" customHeight="1">
      <c r="A2" s="23" t="s">
        <v>96</v>
      </c>
      <c r="B2" s="40" t="s">
        <v>122</v>
      </c>
      <c r="C2" s="86" t="s">
        <v>123</v>
      </c>
      <c r="D2" s="86" t="s">
        <v>124</v>
      </c>
      <c r="E2" s="86" t="s">
        <v>126</v>
      </c>
      <c r="F2" s="40" t="s">
        <v>142</v>
      </c>
      <c r="G2" s="21" t="s">
        <v>143</v>
      </c>
      <c r="AB2" s="87"/>
    </row>
    <row r="3" spans="1:28" ht="15.6" customHeight="1">
      <c r="A3" s="17" t="s">
        <v>103</v>
      </c>
      <c r="B3" s="28" t="s">
        <v>144</v>
      </c>
      <c r="C3" s="28" t="s">
        <v>145</v>
      </c>
      <c r="D3" s="28" t="s">
        <v>146</v>
      </c>
      <c r="E3" s="28" t="s">
        <v>147</v>
      </c>
      <c r="F3" s="28" t="s">
        <v>148</v>
      </c>
      <c r="G3" s="28" t="s">
        <v>149</v>
      </c>
      <c r="AB3" s="87"/>
    </row>
    <row r="4" spans="1:28" ht="14.45">
      <c r="A4" s="79" t="s">
        <v>150</v>
      </c>
      <c r="C4" s="80"/>
      <c r="D4" s="80"/>
      <c r="E4" s="80"/>
      <c r="F4" s="80"/>
      <c r="G4" s="80"/>
      <c r="AB4" s="87"/>
    </row>
    <row r="5" spans="1:28" ht="13.9">
      <c r="A5" s="19"/>
      <c r="B5" s="19"/>
      <c r="C5" s="19"/>
      <c r="D5" s="19"/>
      <c r="E5" s="19"/>
      <c r="F5" s="19"/>
      <c r="G5" s="19"/>
      <c r="AB5" s="87"/>
    </row>
    <row r="6" spans="1:28" ht="13.9">
      <c r="A6" s="19" t="s">
        <v>108</v>
      </c>
      <c r="B6" s="68">
        <v>345.52</v>
      </c>
      <c r="C6" s="68">
        <v>273.83999999999997</v>
      </c>
      <c r="D6" s="68">
        <v>219.72</v>
      </c>
      <c r="E6" s="88" t="s">
        <v>75</v>
      </c>
      <c r="F6" s="68">
        <v>263.63</v>
      </c>
      <c r="G6" s="68">
        <v>240.65</v>
      </c>
      <c r="AB6" s="87"/>
    </row>
    <row r="7" spans="1:28" ht="13.9">
      <c r="A7" s="19" t="s">
        <v>109</v>
      </c>
      <c r="B7" s="68">
        <v>393.53</v>
      </c>
      <c r="C7" s="68">
        <v>275.13</v>
      </c>
      <c r="D7" s="68">
        <v>246.75</v>
      </c>
      <c r="E7" s="88" t="s">
        <v>75</v>
      </c>
      <c r="F7" s="68">
        <v>307.58999999999997</v>
      </c>
      <c r="G7" s="68">
        <v>265.68</v>
      </c>
      <c r="AB7" s="87"/>
    </row>
    <row r="8" spans="1:28" ht="13.9">
      <c r="A8" s="19" t="s">
        <v>110</v>
      </c>
      <c r="B8" s="68">
        <v>468.11</v>
      </c>
      <c r="C8" s="68">
        <v>331.52</v>
      </c>
      <c r="D8" s="68">
        <v>241.57</v>
      </c>
      <c r="E8" s="88" t="s">
        <v>75</v>
      </c>
      <c r="F8" s="68">
        <v>354.22</v>
      </c>
      <c r="G8" s="68">
        <v>329.31</v>
      </c>
      <c r="AB8" s="87"/>
    </row>
    <row r="9" spans="1:28" ht="13.9">
      <c r="A9" s="19" t="s">
        <v>111</v>
      </c>
      <c r="B9" s="68">
        <v>489.94</v>
      </c>
      <c r="C9" s="68">
        <v>377.71</v>
      </c>
      <c r="D9" s="68">
        <v>238.87</v>
      </c>
      <c r="E9" s="88" t="s">
        <v>75</v>
      </c>
      <c r="F9" s="68">
        <v>359.7</v>
      </c>
      <c r="G9" s="68">
        <v>337.23</v>
      </c>
      <c r="AB9" s="87"/>
    </row>
    <row r="10" spans="1:28" ht="13.9">
      <c r="A10" s="19" t="s">
        <v>112</v>
      </c>
      <c r="B10" s="68">
        <v>368.49</v>
      </c>
      <c r="C10" s="68">
        <v>304.27</v>
      </c>
      <c r="D10" s="68">
        <v>209.97</v>
      </c>
      <c r="E10" s="88" t="s">
        <v>75</v>
      </c>
      <c r="F10" s="68">
        <v>301.2</v>
      </c>
      <c r="G10" s="68">
        <v>256.58</v>
      </c>
      <c r="AB10" s="87"/>
    </row>
    <row r="11" spans="1:28" ht="13.9">
      <c r="A11" s="19" t="s">
        <v>113</v>
      </c>
      <c r="B11" s="68">
        <v>324.56</v>
      </c>
      <c r="C11" s="68">
        <v>261.19</v>
      </c>
      <c r="D11" s="68">
        <v>153.16999999999999</v>
      </c>
      <c r="E11" s="88" t="s">
        <v>75</v>
      </c>
      <c r="F11" s="68">
        <v>262.2</v>
      </c>
      <c r="G11" s="68">
        <v>260.23</v>
      </c>
      <c r="AB11" s="87"/>
    </row>
    <row r="12" spans="1:28" ht="13.9">
      <c r="A12" s="19" t="s">
        <v>114</v>
      </c>
      <c r="B12" s="68">
        <v>316.88</v>
      </c>
      <c r="C12" s="68">
        <v>208.61</v>
      </c>
      <c r="D12" s="68">
        <v>145.1</v>
      </c>
      <c r="E12" s="88" t="s">
        <v>75</v>
      </c>
      <c r="F12" s="68">
        <v>267.94</v>
      </c>
      <c r="G12" s="68">
        <v>282.49</v>
      </c>
      <c r="AB12" s="87"/>
    </row>
    <row r="13" spans="1:28" ht="13.9">
      <c r="A13" s="19" t="s">
        <v>115</v>
      </c>
      <c r="B13" s="68">
        <v>345.02</v>
      </c>
      <c r="C13" s="68">
        <v>260.88</v>
      </c>
      <c r="D13" s="68">
        <v>173.53</v>
      </c>
      <c r="E13" s="88" t="s">
        <v>75</v>
      </c>
      <c r="F13" s="68">
        <v>291.14999999999998</v>
      </c>
      <c r="G13" s="68">
        <v>239.15</v>
      </c>
    </row>
    <row r="14" spans="1:28" ht="13.9">
      <c r="A14" s="19" t="s">
        <v>116</v>
      </c>
      <c r="B14" s="68">
        <v>308.27999999999997</v>
      </c>
      <c r="C14" s="68">
        <v>228.64</v>
      </c>
      <c r="D14" s="82">
        <v>164.16</v>
      </c>
      <c r="E14" s="88" t="s">
        <v>75</v>
      </c>
      <c r="F14" s="68">
        <v>272.38</v>
      </c>
      <c r="G14" s="68">
        <v>225.77</v>
      </c>
    </row>
    <row r="15" spans="1:28" ht="13.9">
      <c r="A15" s="19" t="s">
        <v>117</v>
      </c>
      <c r="B15" s="68">
        <v>299.5</v>
      </c>
      <c r="C15" s="68">
        <v>247.04</v>
      </c>
      <c r="D15" s="82">
        <v>187.7</v>
      </c>
      <c r="E15" s="88" t="s">
        <v>75</v>
      </c>
      <c r="F15" s="68">
        <v>273.99</v>
      </c>
      <c r="G15" s="68">
        <v>245.88</v>
      </c>
    </row>
    <row r="16" spans="1:28" ht="13.9">
      <c r="A16" s="19" t="s">
        <v>34</v>
      </c>
      <c r="B16" s="68">
        <v>392.31</v>
      </c>
      <c r="C16" s="68">
        <v>375.51</v>
      </c>
      <c r="D16" s="82">
        <v>246.22</v>
      </c>
      <c r="E16" s="88" t="s">
        <v>75</v>
      </c>
      <c r="F16" s="68">
        <v>351.87</v>
      </c>
      <c r="G16" s="68">
        <v>288.12</v>
      </c>
    </row>
    <row r="17" spans="1:13" ht="16.149999999999999">
      <c r="A17" s="19" t="s">
        <v>137</v>
      </c>
      <c r="B17" s="68">
        <v>440</v>
      </c>
      <c r="C17" s="68">
        <v>345</v>
      </c>
      <c r="D17" s="82">
        <v>280</v>
      </c>
      <c r="E17" s="88" t="s">
        <v>75</v>
      </c>
      <c r="F17" s="68">
        <v>440</v>
      </c>
      <c r="G17" s="68">
        <v>340</v>
      </c>
    </row>
    <row r="18" spans="1:13" ht="16.149999999999999">
      <c r="A18" s="19" t="s">
        <v>138</v>
      </c>
      <c r="B18" s="68">
        <v>390</v>
      </c>
      <c r="C18" s="68">
        <v>310</v>
      </c>
      <c r="D18" s="82">
        <v>235</v>
      </c>
      <c r="E18" s="88" t="s">
        <v>75</v>
      </c>
      <c r="F18" s="68">
        <v>350</v>
      </c>
      <c r="G18" s="68">
        <v>290</v>
      </c>
    </row>
    <row r="19" spans="1:13" ht="13.9">
      <c r="A19" s="23"/>
      <c r="B19" s="68"/>
      <c r="C19" s="68"/>
      <c r="D19" s="68"/>
      <c r="E19" s="88"/>
      <c r="F19" s="68"/>
      <c r="G19" s="68"/>
      <c r="I19" s="89"/>
      <c r="J19" s="90"/>
      <c r="K19" s="90"/>
      <c r="L19" s="90"/>
      <c r="M19" s="90"/>
    </row>
    <row r="20" spans="1:13" ht="13.9">
      <c r="A20" s="41" t="s">
        <v>34</v>
      </c>
      <c r="B20" s="127"/>
      <c r="C20" s="127"/>
      <c r="D20" s="127"/>
      <c r="E20" s="127"/>
      <c r="F20" s="127"/>
      <c r="G20" s="127"/>
      <c r="I20" s="89"/>
      <c r="J20" s="89"/>
      <c r="M20" s="90"/>
    </row>
    <row r="21" spans="1:13" ht="13.9">
      <c r="A21" s="19" t="s">
        <v>38</v>
      </c>
      <c r="B21" s="68">
        <v>367.11</v>
      </c>
      <c r="C21" s="68">
        <v>301.88</v>
      </c>
      <c r="D21" s="68">
        <v>211.25</v>
      </c>
      <c r="E21" s="88" t="s">
        <v>75</v>
      </c>
      <c r="F21" s="68">
        <v>327.24</v>
      </c>
      <c r="G21" s="68">
        <v>239.375</v>
      </c>
      <c r="H21" s="91"/>
      <c r="I21" s="89"/>
      <c r="J21" s="89"/>
      <c r="M21" s="90"/>
    </row>
    <row r="22" spans="1:13" ht="13.9">
      <c r="A22" s="19" t="s">
        <v>39</v>
      </c>
      <c r="B22" s="68">
        <v>387.83</v>
      </c>
      <c r="C22" s="68">
        <v>365.63</v>
      </c>
      <c r="D22" s="68">
        <v>216.25</v>
      </c>
      <c r="E22" s="88" t="s">
        <v>75</v>
      </c>
      <c r="F22" s="68">
        <v>333.89</v>
      </c>
      <c r="G22" s="68">
        <v>253.75</v>
      </c>
      <c r="H22" s="91"/>
      <c r="I22" s="89"/>
      <c r="J22" s="89"/>
    </row>
    <row r="23" spans="1:13" ht="13.9">
      <c r="A23" s="19" t="s">
        <v>41</v>
      </c>
      <c r="B23" s="68">
        <v>396.68</v>
      </c>
      <c r="C23" s="68">
        <v>435.83</v>
      </c>
      <c r="D23" s="68">
        <v>252.5</v>
      </c>
      <c r="E23" s="88" t="s">
        <v>75</v>
      </c>
      <c r="F23" s="68">
        <v>338.55</v>
      </c>
      <c r="G23" s="68">
        <v>275</v>
      </c>
      <c r="H23" s="91"/>
      <c r="I23" s="89"/>
    </row>
    <row r="24" spans="1:13" ht="13.9">
      <c r="A24" s="23" t="s">
        <v>42</v>
      </c>
      <c r="B24" s="68">
        <v>439.24</v>
      </c>
      <c r="C24" s="68">
        <v>443.75</v>
      </c>
      <c r="D24" s="68">
        <v>280.63</v>
      </c>
      <c r="E24" s="88" t="s">
        <v>75</v>
      </c>
      <c r="F24" s="68">
        <v>387.53</v>
      </c>
      <c r="G24" s="68">
        <v>313.125</v>
      </c>
      <c r="I24" s="90"/>
      <c r="J24" s="90"/>
      <c r="K24" s="90"/>
    </row>
    <row r="25" spans="1:13" ht="13.9">
      <c r="A25" s="23" t="s">
        <v>43</v>
      </c>
      <c r="B25" s="68">
        <v>427.28</v>
      </c>
      <c r="C25" s="68">
        <v>460</v>
      </c>
      <c r="D25" s="68">
        <v>291.88</v>
      </c>
      <c r="E25" s="88" t="s">
        <v>75</v>
      </c>
      <c r="F25" s="68">
        <v>376.07499999999999</v>
      </c>
      <c r="G25" s="68">
        <v>296.25</v>
      </c>
      <c r="I25" s="89"/>
      <c r="J25" s="89"/>
      <c r="L25" s="90"/>
    </row>
    <row r="26" spans="1:13" ht="13.9">
      <c r="A26" s="23" t="s">
        <v>45</v>
      </c>
      <c r="B26" s="68">
        <v>410.02</v>
      </c>
      <c r="C26" s="68">
        <v>456</v>
      </c>
      <c r="D26" s="68">
        <v>279.5</v>
      </c>
      <c r="E26" s="88" t="s">
        <v>75</v>
      </c>
      <c r="F26" s="68">
        <v>365.14</v>
      </c>
      <c r="G26" s="68">
        <v>322</v>
      </c>
      <c r="I26" s="89"/>
      <c r="J26" s="89"/>
      <c r="L26" s="90"/>
    </row>
    <row r="27" spans="1:13" ht="13.9">
      <c r="A27" s="23" t="s">
        <v>46</v>
      </c>
      <c r="B27" s="68">
        <v>413.36</v>
      </c>
      <c r="C27" s="68">
        <v>415</v>
      </c>
      <c r="D27" s="68">
        <v>258.125</v>
      </c>
      <c r="E27" s="88" t="s">
        <v>75</v>
      </c>
      <c r="F27" s="68">
        <v>377.57499999999999</v>
      </c>
      <c r="G27" s="68">
        <v>318.75</v>
      </c>
      <c r="I27" s="89"/>
      <c r="J27" s="89"/>
      <c r="L27" s="90"/>
    </row>
    <row r="28" spans="1:13" ht="13.9">
      <c r="A28" s="23" t="s">
        <v>47</v>
      </c>
      <c r="B28" s="68">
        <v>421.03</v>
      </c>
      <c r="C28" s="68">
        <v>360.625</v>
      </c>
      <c r="D28" s="68">
        <v>265</v>
      </c>
      <c r="E28" s="88" t="s">
        <v>75</v>
      </c>
      <c r="F28" s="68">
        <v>391.45</v>
      </c>
      <c r="G28" s="68">
        <v>335.63</v>
      </c>
      <c r="I28" s="89"/>
      <c r="J28" s="89"/>
      <c r="L28" s="90"/>
    </row>
    <row r="29" spans="1:13" ht="13.9">
      <c r="A29" s="23" t="s">
        <v>49</v>
      </c>
      <c r="B29" s="68">
        <v>378.18</v>
      </c>
      <c r="C29" s="68">
        <v>337.5</v>
      </c>
      <c r="D29" s="68">
        <v>252.5</v>
      </c>
      <c r="E29" s="88" t="s">
        <v>75</v>
      </c>
      <c r="F29" s="68">
        <v>345.9</v>
      </c>
      <c r="G29" s="68">
        <v>293.5</v>
      </c>
      <c r="I29" s="89"/>
      <c r="J29" s="89"/>
      <c r="L29" s="90"/>
    </row>
    <row r="30" spans="1:13" ht="13.9">
      <c r="A30" s="23" t="s">
        <v>50</v>
      </c>
      <c r="B30" s="68">
        <v>365.23</v>
      </c>
      <c r="C30" s="68">
        <v>321.875</v>
      </c>
      <c r="D30" s="68">
        <v>206.25</v>
      </c>
      <c r="E30" s="88" t="s">
        <v>75</v>
      </c>
      <c r="F30" s="68">
        <v>326.67499999999995</v>
      </c>
      <c r="G30" s="68">
        <v>262.5</v>
      </c>
      <c r="I30" s="89"/>
      <c r="J30" s="89"/>
      <c r="L30" s="90"/>
    </row>
    <row r="31" spans="1:13" ht="13.9">
      <c r="A31" s="23" t="s">
        <v>51</v>
      </c>
      <c r="B31" s="68">
        <v>358.21</v>
      </c>
      <c r="C31" s="68">
        <v>303</v>
      </c>
      <c r="D31" s="68">
        <v>219.5</v>
      </c>
      <c r="E31" s="88" t="s">
        <v>75</v>
      </c>
      <c r="F31" s="68">
        <v>329.45</v>
      </c>
      <c r="G31" s="68">
        <v>287.5</v>
      </c>
      <c r="I31" s="89"/>
      <c r="J31" s="89"/>
      <c r="L31" s="90"/>
    </row>
    <row r="32" spans="1:13" ht="13.9">
      <c r="A32" s="23" t="s">
        <v>37</v>
      </c>
      <c r="B32" s="68">
        <v>343.55</v>
      </c>
      <c r="C32" s="68">
        <v>305</v>
      </c>
      <c r="D32" s="68">
        <v>221.25</v>
      </c>
      <c r="E32" s="88" t="s">
        <v>75</v>
      </c>
      <c r="F32" s="68">
        <v>322.96249999999998</v>
      </c>
      <c r="G32" s="68">
        <v>260</v>
      </c>
      <c r="I32" s="89"/>
      <c r="J32" s="89"/>
      <c r="L32" s="90"/>
    </row>
    <row r="33" spans="1:10" ht="13.9">
      <c r="A33" s="23"/>
      <c r="B33" s="68"/>
      <c r="C33" s="68"/>
      <c r="D33" s="68"/>
      <c r="E33" s="68"/>
      <c r="F33" s="68"/>
      <c r="G33" s="68"/>
      <c r="H33" s="68"/>
    </row>
    <row r="34" spans="1:10" ht="13.9">
      <c r="A34" s="55" t="s">
        <v>53</v>
      </c>
      <c r="B34" s="68"/>
      <c r="C34" s="68"/>
      <c r="D34" s="68"/>
      <c r="E34" s="68"/>
      <c r="F34" s="68"/>
      <c r="G34" s="68"/>
      <c r="H34" s="68"/>
    </row>
    <row r="35" spans="1:10" ht="13.9">
      <c r="A35" s="23" t="s">
        <v>38</v>
      </c>
      <c r="B35" s="68">
        <v>325.43</v>
      </c>
      <c r="C35" s="68">
        <v>298.75</v>
      </c>
      <c r="D35" s="68">
        <v>222.5</v>
      </c>
      <c r="E35" s="88" t="s">
        <v>75</v>
      </c>
      <c r="F35" s="68">
        <v>322.82499999999999</v>
      </c>
      <c r="G35" s="68">
        <v>265.625</v>
      </c>
      <c r="H35" s="68"/>
    </row>
    <row r="36" spans="1:10" ht="13.9">
      <c r="A36" s="23" t="s">
        <v>39</v>
      </c>
      <c r="B36" s="68">
        <v>358.73</v>
      </c>
      <c r="C36" s="68">
        <v>304.5</v>
      </c>
      <c r="D36" s="68">
        <v>256.5</v>
      </c>
      <c r="E36" s="88" t="s">
        <v>75</v>
      </c>
      <c r="F36" s="68">
        <v>350.21999999999997</v>
      </c>
      <c r="G36" s="68">
        <v>252</v>
      </c>
      <c r="H36" s="68"/>
    </row>
    <row r="37" spans="1:10" ht="13.9">
      <c r="A37" s="23" t="s">
        <v>41</v>
      </c>
      <c r="B37" s="68">
        <v>399.53</v>
      </c>
      <c r="C37" s="68">
        <v>311.25</v>
      </c>
      <c r="D37" s="68">
        <v>289.16666666666669</v>
      </c>
      <c r="E37" s="88" t="s">
        <v>75</v>
      </c>
      <c r="F37" s="68">
        <v>382.9666666666667</v>
      </c>
      <c r="G37" s="68">
        <v>309.16666666666669</v>
      </c>
      <c r="H37" s="68"/>
    </row>
    <row r="38" spans="1:10" ht="13.9">
      <c r="A38" s="23" t="s">
        <v>151</v>
      </c>
      <c r="B38" s="68">
        <v>421.21</v>
      </c>
      <c r="C38" s="68">
        <v>318.125</v>
      </c>
      <c r="D38" s="68">
        <v>301.25</v>
      </c>
      <c r="E38" s="88" t="s">
        <v>75</v>
      </c>
      <c r="F38" s="68">
        <v>410.875</v>
      </c>
      <c r="G38" s="68">
        <v>326.25</v>
      </c>
      <c r="H38" s="68"/>
    </row>
    <row r="39" spans="1:10" ht="13.9">
      <c r="A39" s="23" t="s">
        <v>43</v>
      </c>
      <c r="B39" s="126">
        <v>460.45</v>
      </c>
      <c r="C39" s="68">
        <v>333.75</v>
      </c>
      <c r="D39" s="68">
        <v>320</v>
      </c>
      <c r="E39" s="88" t="s">
        <v>75</v>
      </c>
      <c r="F39" s="68">
        <v>454.625</v>
      </c>
      <c r="G39" s="68">
        <v>350</v>
      </c>
      <c r="H39" s="68"/>
    </row>
    <row r="40" spans="1:10" ht="13.9">
      <c r="A40" s="23" t="s">
        <v>45</v>
      </c>
      <c r="B40" s="126">
        <v>493.97500000000002</v>
      </c>
      <c r="C40" s="68">
        <v>345.625</v>
      </c>
      <c r="D40" s="68">
        <v>333.33300000000003</v>
      </c>
      <c r="E40" s="88" t="s">
        <v>75</v>
      </c>
      <c r="F40" s="68">
        <v>487.03750000000002</v>
      </c>
      <c r="G40" s="68">
        <v>392.5</v>
      </c>
      <c r="H40" s="68"/>
    </row>
    <row r="41" spans="1:10" ht="13.9">
      <c r="A41" s="23" t="s">
        <v>46</v>
      </c>
      <c r="B41" s="126">
        <v>475.35999999999996</v>
      </c>
      <c r="C41" s="68">
        <v>355</v>
      </c>
      <c r="D41" s="68">
        <v>321</v>
      </c>
      <c r="E41" s="88" t="s">
        <v>75</v>
      </c>
      <c r="F41" s="68">
        <v>470.77999999999992</v>
      </c>
      <c r="G41" s="68">
        <v>386</v>
      </c>
      <c r="H41" s="68"/>
    </row>
    <row r="42" spans="1:10" ht="13.9">
      <c r="A42" s="23" t="s">
        <v>47</v>
      </c>
      <c r="B42" s="126">
        <v>441.27499999999998</v>
      </c>
      <c r="C42" s="68">
        <v>388.75</v>
      </c>
      <c r="D42" s="68">
        <v>285.625</v>
      </c>
      <c r="E42" s="88" t="s">
        <v>75</v>
      </c>
      <c r="F42" s="68">
        <v>454.5</v>
      </c>
      <c r="G42" s="68">
        <v>351.25</v>
      </c>
      <c r="H42" s="68"/>
    </row>
    <row r="43" spans="1:10" ht="13.9">
      <c r="A43" s="23" t="s">
        <v>49</v>
      </c>
      <c r="B43" s="126">
        <v>445.92499999999995</v>
      </c>
      <c r="C43" s="68">
        <v>383.75</v>
      </c>
      <c r="D43" s="68">
        <v>281.875</v>
      </c>
      <c r="E43" s="88" t="s">
        <v>75</v>
      </c>
      <c r="F43" s="68">
        <v>478.17499999999995</v>
      </c>
      <c r="G43" s="68">
        <v>322.5</v>
      </c>
      <c r="H43" s="68"/>
    </row>
    <row r="44" spans="1:10" ht="13.9">
      <c r="A44" s="23" t="s">
        <v>50</v>
      </c>
      <c r="B44" s="126">
        <v>467.87</v>
      </c>
      <c r="C44" s="68">
        <v>369.5</v>
      </c>
      <c r="D44" s="68">
        <v>268.5</v>
      </c>
      <c r="E44" s="88" t="s">
        <v>75</v>
      </c>
      <c r="F44" s="68">
        <v>501.17999999999995</v>
      </c>
      <c r="G44" s="68">
        <v>351.5</v>
      </c>
      <c r="H44" s="68"/>
    </row>
    <row r="45" spans="1:10" ht="13.9">
      <c r="A45" s="17" t="s">
        <v>51</v>
      </c>
      <c r="B45" s="125">
        <v>510.90000000000009</v>
      </c>
      <c r="C45" s="16">
        <v>405</v>
      </c>
      <c r="D45" s="16">
        <v>255</v>
      </c>
      <c r="E45" s="119" t="s">
        <v>75</v>
      </c>
      <c r="F45" s="16">
        <v>521.52500000000009</v>
      </c>
      <c r="G45" s="16">
        <v>347.5</v>
      </c>
      <c r="H45" s="68"/>
    </row>
    <row r="46" spans="1:10" ht="16.149999999999999">
      <c r="A46" s="58" t="s">
        <v>152</v>
      </c>
      <c r="B46" s="92"/>
      <c r="C46" s="92"/>
      <c r="D46" s="92"/>
      <c r="E46" s="92"/>
      <c r="F46" s="92"/>
      <c r="G46" s="92"/>
      <c r="I46" s="89"/>
    </row>
    <row r="47" spans="1:10" ht="16.149999999999999">
      <c r="A47" s="58" t="s">
        <v>153</v>
      </c>
      <c r="B47" s="93"/>
      <c r="C47" s="93"/>
      <c r="D47" s="93"/>
      <c r="E47" s="93"/>
      <c r="F47" s="93"/>
      <c r="G47" s="93"/>
      <c r="I47" s="89"/>
      <c r="J47" s="89"/>
    </row>
    <row r="48" spans="1:10" ht="13.9">
      <c r="A48" s="19"/>
      <c r="B48" s="93"/>
      <c r="C48" s="93"/>
      <c r="D48" s="93"/>
      <c r="E48" s="93"/>
      <c r="F48" s="93"/>
      <c r="G48" s="93"/>
      <c r="H48" s="59"/>
      <c r="I48" s="89"/>
      <c r="J48" s="89"/>
    </row>
    <row r="49" spans="1:10" ht="14.45">
      <c r="A49" s="19" t="s">
        <v>154</v>
      </c>
      <c r="B49" s="19"/>
      <c r="C49" s="19"/>
      <c r="D49" s="19"/>
      <c r="E49" s="19"/>
      <c r="F49" s="93"/>
      <c r="G49" s="93"/>
      <c r="I49" s="89"/>
      <c r="J49" s="89"/>
    </row>
    <row r="50" spans="1:10" ht="13.9">
      <c r="A50" s="25" t="s">
        <v>56</v>
      </c>
      <c r="B50" s="50">
        <f ca="1">NOW()</f>
        <v>44818.289790162038</v>
      </c>
      <c r="C50" s="19"/>
      <c r="D50" s="19"/>
      <c r="E50" s="19"/>
      <c r="F50" s="93"/>
      <c r="G50" s="93"/>
      <c r="I50" s="94"/>
      <c r="J50" s="94"/>
    </row>
    <row r="51" spans="1:10" ht="13.9">
      <c r="F51" s="93"/>
      <c r="G51" s="93"/>
      <c r="I51" s="94"/>
      <c r="J51" s="94"/>
    </row>
    <row r="52" spans="1:10" ht="13.9">
      <c r="F52" s="93"/>
      <c r="G52" s="93"/>
      <c r="I52" s="89"/>
      <c r="J52" s="89"/>
    </row>
    <row r="53" spans="1:10">
      <c r="I53" s="89"/>
      <c r="J53" s="89"/>
    </row>
    <row r="54" spans="1:10">
      <c r="I54" s="89"/>
      <c r="J54" s="89"/>
    </row>
    <row r="55" spans="1:10">
      <c r="I55" s="89"/>
      <c r="J55" s="89"/>
    </row>
    <row r="56" spans="1:10">
      <c r="I56" s="89"/>
      <c r="J56" s="89"/>
    </row>
    <row r="57" spans="1:10">
      <c r="I57" s="89"/>
      <c r="J57" s="89"/>
    </row>
    <row r="59" spans="1:10">
      <c r="I59" s="95"/>
      <c r="J59" s="95"/>
    </row>
    <row r="60" spans="1:10">
      <c r="I60" s="95"/>
      <c r="J60" s="95"/>
    </row>
  </sheetData>
  <phoneticPr fontId="1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DB8F-C019-4CD5-AE47-ABD59A3492D0}">
  <dimension ref="A1:D91"/>
  <sheetViews>
    <sheetView tabSelected="1" topLeftCell="E1" zoomScaleNormal="100" workbookViewId="0"/>
  </sheetViews>
  <sheetFormatPr defaultColWidth="9.140625" defaultRowHeight="13.15"/>
  <cols>
    <col min="1" max="1" width="14.7109375" style="145" bestFit="1" customWidth="1"/>
    <col min="2" max="2" width="14.7109375" style="145" customWidth="1"/>
    <col min="3" max="3" width="12.28515625" style="145" customWidth="1"/>
    <col min="4" max="4" width="13.140625" style="145" customWidth="1"/>
    <col min="5" max="16384" width="9.140625" style="145"/>
  </cols>
  <sheetData>
    <row r="1" spans="1:4" ht="13.9">
      <c r="A1" s="166" t="s">
        <v>155</v>
      </c>
      <c r="B1" s="166" t="s">
        <v>53</v>
      </c>
      <c r="C1" s="166" t="s">
        <v>51</v>
      </c>
      <c r="D1" s="166" t="s">
        <v>37</v>
      </c>
    </row>
    <row r="2" spans="1:4">
      <c r="A2" s="156" t="s">
        <v>156</v>
      </c>
      <c r="B2" s="162">
        <v>326.35000000000002</v>
      </c>
      <c r="C2" s="162">
        <v>351.62</v>
      </c>
      <c r="D2" s="162">
        <v>350.63</v>
      </c>
    </row>
    <row r="3" spans="1:4">
      <c r="A3" s="151" t="s">
        <v>157</v>
      </c>
      <c r="B3" s="163">
        <v>1506.93</v>
      </c>
      <c r="C3" s="163">
        <v>1583.66</v>
      </c>
      <c r="D3" s="163">
        <v>1536.78</v>
      </c>
    </row>
    <row r="4" spans="1:4">
      <c r="A4" s="151" t="s">
        <v>158</v>
      </c>
      <c r="B4" s="164">
        <v>1254.97</v>
      </c>
      <c r="C4" s="164">
        <v>1250.9100000000001</v>
      </c>
      <c r="D4" s="164">
        <v>1244.53</v>
      </c>
    </row>
    <row r="5" spans="1:4">
      <c r="A5" s="151" t="s">
        <v>159</v>
      </c>
      <c r="B5" s="163">
        <v>540.51</v>
      </c>
      <c r="C5" s="163">
        <v>503.25</v>
      </c>
      <c r="D5" s="163">
        <v>456.4</v>
      </c>
    </row>
    <row r="6" spans="1:4">
      <c r="A6" s="151" t="s">
        <v>160</v>
      </c>
      <c r="B6" s="163">
        <v>397.16</v>
      </c>
      <c r="C6" s="163">
        <v>427.8</v>
      </c>
      <c r="D6" s="163">
        <v>399.15</v>
      </c>
    </row>
    <row r="7" spans="1:4">
      <c r="A7" s="151" t="s">
        <v>161</v>
      </c>
      <c r="B7" s="163">
        <v>409.31200000000001</v>
      </c>
      <c r="C7" s="163">
        <v>413.32100000000003</v>
      </c>
      <c r="D7" s="163">
        <v>390.70400000000001</v>
      </c>
    </row>
    <row r="8" spans="1:4">
      <c r="A8" s="151"/>
      <c r="B8" s="165"/>
      <c r="C8" s="157"/>
      <c r="D8" s="157"/>
    </row>
    <row r="9" spans="1:4">
      <c r="C9" s="158"/>
      <c r="D9" s="158"/>
    </row>
    <row r="10" spans="1:4">
      <c r="A10" s="151"/>
      <c r="C10" s="158"/>
      <c r="D10" s="158"/>
    </row>
    <row r="11" spans="1:4">
      <c r="A11" s="151"/>
      <c r="C11" s="158"/>
      <c r="D11" s="158"/>
    </row>
    <row r="12" spans="1:4">
      <c r="A12" s="159"/>
      <c r="C12" s="158"/>
      <c r="D12" s="158"/>
    </row>
    <row r="13" spans="1:4">
      <c r="A13" s="160"/>
      <c r="C13" s="158"/>
      <c r="D13" s="158"/>
    </row>
    <row r="14" spans="1:4">
      <c r="A14" s="160"/>
      <c r="C14" s="158"/>
      <c r="D14" s="158"/>
    </row>
    <row r="15" spans="1:4">
      <c r="A15" s="160"/>
      <c r="B15" s="160"/>
      <c r="C15" s="158"/>
      <c r="D15" s="158"/>
    </row>
    <row r="16" spans="1:4">
      <c r="A16" s="151"/>
      <c r="B16" s="151"/>
      <c r="C16" s="161"/>
      <c r="D16" s="161"/>
    </row>
    <row r="17" spans="1:4">
      <c r="A17" s="151"/>
      <c r="B17" s="151"/>
      <c r="C17" s="161"/>
      <c r="D17" s="161"/>
    </row>
    <row r="18" spans="1:4">
      <c r="A18" s="151"/>
      <c r="B18" s="151"/>
      <c r="C18" s="161"/>
      <c r="D18" s="161"/>
    </row>
    <row r="19" spans="1:4">
      <c r="A19" s="151"/>
      <c r="B19" s="151"/>
      <c r="C19" s="161"/>
      <c r="D19" s="161"/>
    </row>
    <row r="20" spans="1:4">
      <c r="A20" s="151"/>
      <c r="B20" s="151"/>
      <c r="C20" s="161"/>
      <c r="D20" s="161"/>
    </row>
    <row r="21" spans="1:4">
      <c r="A21" s="151"/>
      <c r="B21" s="151"/>
      <c r="C21" s="161"/>
      <c r="D21" s="161"/>
    </row>
    <row r="22" spans="1:4">
      <c r="A22" s="151"/>
      <c r="B22" s="151"/>
      <c r="C22" s="161"/>
      <c r="D22" s="161"/>
    </row>
    <row r="23" spans="1:4">
      <c r="A23" s="151"/>
      <c r="B23" s="151"/>
      <c r="C23" s="161"/>
      <c r="D23" s="161"/>
    </row>
    <row r="24" spans="1:4">
      <c r="A24" s="151"/>
      <c r="B24" s="151"/>
      <c r="C24" s="151"/>
      <c r="D24" s="151"/>
    </row>
    <row r="25" spans="1:4">
      <c r="A25" s="151"/>
      <c r="B25" s="151"/>
      <c r="C25" s="151"/>
      <c r="D25" s="151"/>
    </row>
    <row r="26" spans="1:4">
      <c r="A26" s="151"/>
      <c r="B26" s="151"/>
      <c r="C26" s="151"/>
      <c r="D26" s="151"/>
    </row>
    <row r="27" spans="1:4">
      <c r="A27" s="151"/>
      <c r="B27" s="151"/>
      <c r="C27" s="151"/>
      <c r="D27" s="151"/>
    </row>
    <row r="28" spans="1:4">
      <c r="A28" s="151"/>
      <c r="B28" s="151"/>
      <c r="C28" s="151"/>
      <c r="D28" s="151"/>
    </row>
    <row r="29" spans="1:4">
      <c r="A29" s="151"/>
      <c r="B29" s="151"/>
      <c r="C29" s="151"/>
      <c r="D29" s="151"/>
    </row>
    <row r="30" spans="1:4">
      <c r="A30" s="151"/>
      <c r="B30" s="151"/>
      <c r="C30" s="151"/>
      <c r="D30" s="151"/>
    </row>
    <row r="31" spans="1:4">
      <c r="A31" s="151"/>
      <c r="B31" s="151"/>
      <c r="C31" s="151"/>
      <c r="D31" s="151"/>
    </row>
    <row r="32" spans="1:4">
      <c r="A32" s="151"/>
      <c r="B32" s="151"/>
      <c r="C32" s="151"/>
      <c r="D32" s="151"/>
    </row>
    <row r="33" spans="1:4">
      <c r="A33" s="151"/>
      <c r="B33" s="151"/>
      <c r="C33" s="151"/>
      <c r="D33" s="151"/>
    </row>
    <row r="34" spans="1:4">
      <c r="A34" s="151"/>
      <c r="B34" s="151"/>
      <c r="C34" s="151"/>
      <c r="D34" s="151"/>
    </row>
    <row r="35" spans="1:4">
      <c r="A35" s="151"/>
      <c r="B35" s="151"/>
      <c r="C35" s="151"/>
      <c r="D35" s="151"/>
    </row>
    <row r="36" spans="1:4">
      <c r="A36" s="151"/>
      <c r="B36" s="151"/>
      <c r="C36" s="151"/>
      <c r="D36" s="151"/>
    </row>
    <row r="37" spans="1:4">
      <c r="A37" s="151"/>
      <c r="B37" s="151"/>
      <c r="C37" s="151"/>
      <c r="D37" s="151"/>
    </row>
    <row r="38" spans="1:4">
      <c r="A38" s="151"/>
      <c r="B38" s="151"/>
      <c r="C38" s="151"/>
      <c r="D38" s="151"/>
    </row>
    <row r="39" spans="1:4">
      <c r="A39" s="151"/>
      <c r="B39" s="151"/>
      <c r="C39" s="151"/>
      <c r="D39" s="151"/>
    </row>
    <row r="40" spans="1:4">
      <c r="A40" s="151"/>
      <c r="B40" s="151"/>
      <c r="C40" s="151"/>
      <c r="D40" s="151"/>
    </row>
    <row r="41" spans="1:4">
      <c r="A41" s="151"/>
      <c r="B41" s="151"/>
      <c r="C41" s="151"/>
      <c r="D41" s="151"/>
    </row>
    <row r="42" spans="1:4">
      <c r="A42" s="151"/>
      <c r="B42" s="151"/>
      <c r="C42" s="151"/>
      <c r="D42" s="151"/>
    </row>
    <row r="43" spans="1:4">
      <c r="A43" s="151"/>
      <c r="B43" s="151"/>
      <c r="C43" s="151"/>
      <c r="D43" s="151"/>
    </row>
    <row r="44" spans="1:4">
      <c r="A44" s="151"/>
      <c r="B44" s="151"/>
      <c r="C44" s="151"/>
      <c r="D44" s="151"/>
    </row>
    <row r="45" spans="1:4">
      <c r="A45" s="151"/>
      <c r="B45" s="151"/>
      <c r="C45" s="151"/>
      <c r="D45" s="151"/>
    </row>
    <row r="46" spans="1:4">
      <c r="A46" s="151"/>
      <c r="B46" s="151"/>
      <c r="C46" s="151"/>
      <c r="D46" s="151"/>
    </row>
    <row r="47" spans="1:4">
      <c r="A47" s="151"/>
      <c r="B47" s="151"/>
      <c r="C47" s="151"/>
      <c r="D47" s="151"/>
    </row>
    <row r="48" spans="1:4">
      <c r="A48" s="151"/>
      <c r="B48" s="151"/>
      <c r="C48" s="151"/>
      <c r="D48" s="151"/>
    </row>
    <row r="49" spans="1:4">
      <c r="A49" s="151"/>
      <c r="B49" s="151"/>
      <c r="C49" s="151"/>
      <c r="D49" s="151"/>
    </row>
    <row r="50" spans="1:4">
      <c r="A50" s="151"/>
      <c r="B50" s="151"/>
      <c r="C50" s="151"/>
      <c r="D50" s="151"/>
    </row>
    <row r="51" spans="1:4">
      <c r="A51" s="151"/>
      <c r="B51" s="151"/>
      <c r="C51" s="151"/>
      <c r="D51" s="151"/>
    </row>
    <row r="52" spans="1:4">
      <c r="A52" s="151"/>
      <c r="B52" s="151"/>
      <c r="C52" s="151"/>
      <c r="D52" s="151"/>
    </row>
    <row r="53" spans="1:4">
      <c r="A53" s="151"/>
      <c r="B53" s="151"/>
      <c r="C53" s="151"/>
      <c r="D53" s="151"/>
    </row>
    <row r="54" spans="1:4">
      <c r="A54" s="151"/>
      <c r="B54" s="151"/>
      <c r="C54" s="151"/>
      <c r="D54" s="151"/>
    </row>
    <row r="55" spans="1:4">
      <c r="A55" s="151"/>
      <c r="B55" s="151"/>
      <c r="C55" s="151"/>
      <c r="D55" s="151"/>
    </row>
    <row r="56" spans="1:4">
      <c r="A56" s="151"/>
      <c r="B56" s="151"/>
      <c r="C56" s="151"/>
      <c r="D56" s="151"/>
    </row>
    <row r="57" spans="1:4">
      <c r="A57" s="151"/>
      <c r="B57" s="151"/>
      <c r="C57" s="151"/>
      <c r="D57" s="151"/>
    </row>
    <row r="58" spans="1:4">
      <c r="A58" s="151"/>
      <c r="B58" s="151"/>
      <c r="C58" s="151"/>
      <c r="D58" s="151"/>
    </row>
    <row r="59" spans="1:4">
      <c r="A59" s="151"/>
      <c r="B59" s="151"/>
      <c r="C59" s="151"/>
      <c r="D59" s="151"/>
    </row>
    <row r="60" spans="1:4">
      <c r="A60" s="151"/>
      <c r="B60" s="151"/>
      <c r="C60" s="151"/>
      <c r="D60" s="151"/>
    </row>
    <row r="61" spans="1:4">
      <c r="A61" s="151"/>
      <c r="B61" s="151"/>
      <c r="C61" s="151"/>
      <c r="D61" s="151"/>
    </row>
    <row r="62" spans="1:4">
      <c r="A62" s="151"/>
      <c r="B62" s="151"/>
      <c r="C62" s="151"/>
      <c r="D62" s="151"/>
    </row>
    <row r="63" spans="1:4">
      <c r="A63" s="151"/>
      <c r="B63" s="151"/>
      <c r="C63" s="151"/>
      <c r="D63" s="151"/>
    </row>
    <row r="64" spans="1:4">
      <c r="A64" s="151"/>
      <c r="B64" s="151"/>
      <c r="C64" s="151"/>
      <c r="D64" s="151"/>
    </row>
    <row r="65" spans="1:4">
      <c r="A65" s="151"/>
      <c r="B65" s="151"/>
      <c r="C65" s="151"/>
      <c r="D65" s="151"/>
    </row>
    <row r="66" spans="1:4">
      <c r="A66" s="151"/>
      <c r="B66" s="151"/>
      <c r="C66" s="151"/>
      <c r="D66" s="151"/>
    </row>
    <row r="67" spans="1:4">
      <c r="A67" s="151"/>
      <c r="B67" s="151"/>
      <c r="C67" s="151"/>
      <c r="D67" s="151"/>
    </row>
    <row r="68" spans="1:4">
      <c r="A68" s="151"/>
      <c r="B68" s="151"/>
      <c r="C68" s="151"/>
      <c r="D68" s="151"/>
    </row>
    <row r="69" spans="1:4">
      <c r="A69" s="151"/>
      <c r="B69" s="151"/>
      <c r="C69" s="151"/>
      <c r="D69" s="151"/>
    </row>
    <row r="70" spans="1:4">
      <c r="A70" s="151"/>
      <c r="B70" s="151"/>
      <c r="C70" s="151"/>
      <c r="D70" s="151"/>
    </row>
    <row r="71" spans="1:4">
      <c r="A71" s="151"/>
      <c r="B71" s="151"/>
      <c r="C71" s="151"/>
      <c r="D71" s="151"/>
    </row>
    <row r="72" spans="1:4">
      <c r="A72" s="151"/>
      <c r="B72" s="151"/>
      <c r="C72" s="151"/>
      <c r="D72" s="151"/>
    </row>
    <row r="73" spans="1:4">
      <c r="A73" s="151"/>
      <c r="B73" s="151"/>
      <c r="C73" s="151"/>
      <c r="D73" s="151"/>
    </row>
    <row r="74" spans="1:4">
      <c r="A74" s="151"/>
      <c r="B74" s="151"/>
      <c r="C74" s="151"/>
      <c r="D74" s="151"/>
    </row>
    <row r="75" spans="1:4">
      <c r="A75" s="151"/>
      <c r="B75" s="151"/>
      <c r="C75" s="151"/>
      <c r="D75" s="151"/>
    </row>
    <row r="76" spans="1:4">
      <c r="A76" s="151"/>
      <c r="B76" s="151"/>
      <c r="C76" s="151"/>
      <c r="D76" s="151"/>
    </row>
    <row r="77" spans="1:4">
      <c r="A77" s="151"/>
      <c r="B77" s="151"/>
      <c r="C77" s="151"/>
      <c r="D77" s="151"/>
    </row>
    <row r="78" spans="1:4">
      <c r="A78" s="151"/>
      <c r="B78" s="151"/>
      <c r="C78" s="151"/>
      <c r="D78" s="151"/>
    </row>
    <row r="79" spans="1:4">
      <c r="A79" s="151"/>
      <c r="B79" s="151"/>
      <c r="C79" s="151"/>
      <c r="D79" s="151"/>
    </row>
    <row r="80" spans="1:4">
      <c r="A80" s="151"/>
      <c r="B80" s="151"/>
      <c r="C80" s="151"/>
      <c r="D80" s="151"/>
    </row>
    <row r="81" spans="1:4">
      <c r="A81" s="151"/>
      <c r="B81" s="151"/>
      <c r="C81" s="151"/>
      <c r="D81" s="151"/>
    </row>
    <row r="82" spans="1:4">
      <c r="A82" s="151"/>
      <c r="B82" s="151"/>
      <c r="C82" s="151"/>
      <c r="D82" s="151"/>
    </row>
    <row r="83" spans="1:4">
      <c r="A83" s="151"/>
      <c r="B83" s="151"/>
      <c r="C83" s="151"/>
      <c r="D83" s="151"/>
    </row>
    <row r="84" spans="1:4">
      <c r="A84" s="151"/>
      <c r="B84" s="151"/>
      <c r="C84" s="151"/>
      <c r="D84" s="151"/>
    </row>
    <row r="85" spans="1:4">
      <c r="A85" s="151"/>
      <c r="B85" s="151"/>
      <c r="C85" s="151"/>
      <c r="D85" s="151"/>
    </row>
    <row r="86" spans="1:4">
      <c r="A86" s="151"/>
      <c r="B86" s="151"/>
      <c r="C86" s="151"/>
      <c r="D86" s="151"/>
    </row>
    <row r="87" spans="1:4">
      <c r="A87" s="151"/>
      <c r="B87" s="151"/>
      <c r="C87" s="151"/>
      <c r="D87" s="151"/>
    </row>
    <row r="88" spans="1:4">
      <c r="A88" s="151"/>
      <c r="B88" s="151"/>
      <c r="C88" s="151"/>
      <c r="D88" s="151"/>
    </row>
    <row r="89" spans="1:4">
      <c r="A89" s="151"/>
      <c r="B89" s="151"/>
      <c r="C89" s="151"/>
      <c r="D89" s="151"/>
    </row>
    <row r="90" spans="1:4">
      <c r="A90" s="151"/>
      <c r="B90" s="151"/>
      <c r="C90" s="151"/>
      <c r="D90" s="151"/>
    </row>
    <row r="91" spans="1:4">
      <c r="A91" s="151"/>
      <c r="B91" s="151"/>
      <c r="C91" s="151"/>
      <c r="D91" s="15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8F99-5981-4828-9F4D-DFFF59C3BBA8}">
  <dimension ref="A1:E13"/>
  <sheetViews>
    <sheetView zoomScale="90" zoomScaleNormal="90" workbookViewId="0">
      <selection activeCell="C19" sqref="C19"/>
    </sheetView>
  </sheetViews>
  <sheetFormatPr defaultColWidth="9.140625" defaultRowHeight="13.9"/>
  <cols>
    <col min="1" max="1" width="11.42578125" style="140" bestFit="1" customWidth="1"/>
    <col min="2" max="5" width="8.42578125" style="140" bestFit="1" customWidth="1"/>
    <col min="6" max="16384" width="9.140625" style="140"/>
  </cols>
  <sheetData>
    <row r="1" spans="1:5" ht="34.5" customHeight="1">
      <c r="A1" s="138" t="s">
        <v>162</v>
      </c>
      <c r="B1" s="138" t="s">
        <v>116</v>
      </c>
      <c r="C1" s="138" t="s">
        <v>117</v>
      </c>
      <c r="D1" s="138" t="s">
        <v>34</v>
      </c>
      <c r="E1" s="138" t="s">
        <v>53</v>
      </c>
    </row>
    <row r="2" spans="1:5">
      <c r="A2" s="140" t="s">
        <v>163</v>
      </c>
      <c r="B2" s="144">
        <v>765.54666666666662</v>
      </c>
      <c r="C2" s="144">
        <v>624.18666666666661</v>
      </c>
      <c r="D2" s="144">
        <v>793.16669999999999</v>
      </c>
      <c r="E2" s="144">
        <v>832.42700000000002</v>
      </c>
    </row>
    <row r="3" spans="1:5">
      <c r="A3" s="140" t="s">
        <v>164</v>
      </c>
      <c r="B3" s="144">
        <v>770.45666666666659</v>
      </c>
      <c r="C3" s="144">
        <v>593.1966666666666</v>
      </c>
      <c r="D3" s="144">
        <v>753.16669999999999</v>
      </c>
      <c r="E3" s="144">
        <v>818.01271279999992</v>
      </c>
    </row>
    <row r="4" spans="1:5">
      <c r="A4" s="140" t="s">
        <v>165</v>
      </c>
      <c r="B4" s="144">
        <v>834.42666666666662</v>
      </c>
      <c r="C4" s="144">
        <v>607.71666666666658</v>
      </c>
      <c r="D4" s="144">
        <v>814.16669999999999</v>
      </c>
      <c r="E4" s="144">
        <v>938.34100000000001</v>
      </c>
    </row>
    <row r="5" spans="1:5">
      <c r="A5" s="140" t="s">
        <v>166</v>
      </c>
      <c r="B5" s="144">
        <v>689.47666666666657</v>
      </c>
      <c r="C5" s="144">
        <v>587.66666666666663</v>
      </c>
      <c r="D5" s="144">
        <v>682.77</v>
      </c>
      <c r="E5" s="144">
        <v>791.38699999999994</v>
      </c>
    </row>
    <row r="6" spans="1:5">
      <c r="A6" s="140" t="s">
        <v>167</v>
      </c>
      <c r="B6" s="144">
        <v>626.23666666666668</v>
      </c>
      <c r="C6" s="144">
        <v>641.4466666666666</v>
      </c>
      <c r="D6" s="144">
        <v>552.50900000000001</v>
      </c>
      <c r="E6" s="144">
        <v>740.60299999999995</v>
      </c>
    </row>
    <row r="7" spans="1:5">
      <c r="A7" s="140" t="s">
        <v>168</v>
      </c>
      <c r="B7" s="144">
        <v>683.67666666666662</v>
      </c>
      <c r="C7" s="144">
        <v>722.68666666666661</v>
      </c>
      <c r="D7" s="144">
        <v>748.81299999999999</v>
      </c>
      <c r="E7" s="144">
        <v>908.29</v>
      </c>
    </row>
    <row r="8" spans="1:5">
      <c r="A8" s="140" t="s">
        <v>169</v>
      </c>
      <c r="B8" s="144">
        <v>698.50666666666666</v>
      </c>
      <c r="C8" s="144">
        <v>738.47666666666657</v>
      </c>
      <c r="D8" s="144">
        <v>699.93299999999999</v>
      </c>
      <c r="E8" s="144">
        <v>838.9</v>
      </c>
    </row>
    <row r="9" spans="1:5">
      <c r="A9" s="140" t="s">
        <v>47</v>
      </c>
      <c r="B9" s="144">
        <v>725.71666666666658</v>
      </c>
      <c r="C9" s="144">
        <v>872.01666666666665</v>
      </c>
      <c r="D9" s="144">
        <v>785.91399999999999</v>
      </c>
      <c r="E9" s="144">
        <v>855.57100000000003</v>
      </c>
    </row>
    <row r="10" spans="1:5">
      <c r="A10" s="140" t="s">
        <v>170</v>
      </c>
      <c r="B10" s="144">
        <v>660.81666666666661</v>
      </c>
      <c r="C10" s="144">
        <v>813.73666666666668</v>
      </c>
      <c r="D10" s="144">
        <v>679.98199999999997</v>
      </c>
      <c r="E10" s="144">
        <v>809.79899999999998</v>
      </c>
    </row>
    <row r="11" spans="1:5">
      <c r="A11" s="140" t="s">
        <v>171</v>
      </c>
      <c r="B11" s="144">
        <v>775.16666666666663</v>
      </c>
      <c r="C11" s="144">
        <v>841.49666666666667</v>
      </c>
      <c r="D11" s="144">
        <v>807.96799999999996</v>
      </c>
      <c r="E11" s="144"/>
    </row>
    <row r="12" spans="1:5">
      <c r="A12" s="140" t="s">
        <v>172</v>
      </c>
      <c r="B12" s="144">
        <v>767.80666666666662</v>
      </c>
      <c r="C12" s="144">
        <v>811.99666666666667</v>
      </c>
      <c r="D12" s="144">
        <v>822.94799999999998</v>
      </c>
      <c r="E12" s="144"/>
    </row>
    <row r="13" spans="1:5">
      <c r="A13" s="140" t="s">
        <v>173</v>
      </c>
      <c r="B13" s="144">
        <v>665.46666666666658</v>
      </c>
      <c r="C13" s="144">
        <v>803.1966666666666</v>
      </c>
      <c r="D13" s="144">
        <v>779.125</v>
      </c>
      <c r="E13" s="14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A114-0F30-4E9B-B107-6004B12031BA}">
  <dimension ref="A1:C25"/>
  <sheetViews>
    <sheetView topLeftCell="B1" zoomScale="90" zoomScaleNormal="90" workbookViewId="0">
      <selection activeCell="C14" sqref="C14"/>
    </sheetView>
  </sheetViews>
  <sheetFormatPr defaultColWidth="9.140625" defaultRowHeight="13.9"/>
  <cols>
    <col min="1" max="1" width="11.42578125" style="140" bestFit="1" customWidth="1"/>
    <col min="2" max="2" width="21.85546875" style="140" bestFit="1" customWidth="1"/>
    <col min="3" max="3" width="26.140625" style="140" bestFit="1" customWidth="1"/>
    <col min="4" max="16384" width="9.140625" style="140"/>
  </cols>
  <sheetData>
    <row r="1" spans="1:3" ht="34.5" customHeight="1">
      <c r="A1" s="138" t="s">
        <v>162</v>
      </c>
      <c r="B1" s="139" t="s">
        <v>174</v>
      </c>
      <c r="C1" s="139" t="s">
        <v>175</v>
      </c>
    </row>
    <row r="2" spans="1:3">
      <c r="A2" s="154">
        <v>44105</v>
      </c>
      <c r="B2" s="155">
        <v>367.11</v>
      </c>
      <c r="C2" s="155">
        <v>327.24</v>
      </c>
    </row>
    <row r="3" spans="1:3">
      <c r="A3" s="154">
        <v>44136</v>
      </c>
      <c r="B3" s="155">
        <v>387.83</v>
      </c>
      <c r="C3" s="155">
        <v>333.89</v>
      </c>
    </row>
    <row r="4" spans="1:3">
      <c r="A4" s="154">
        <v>44166</v>
      </c>
      <c r="B4" s="155">
        <v>396.68</v>
      </c>
      <c r="C4" s="155">
        <v>338.55</v>
      </c>
    </row>
    <row r="5" spans="1:3">
      <c r="A5" s="154">
        <v>44197</v>
      </c>
      <c r="B5" s="155">
        <v>439.24</v>
      </c>
      <c r="C5" s="155">
        <v>387.53</v>
      </c>
    </row>
    <row r="6" spans="1:3">
      <c r="A6" s="154">
        <v>44228</v>
      </c>
      <c r="B6" s="155">
        <v>427.28</v>
      </c>
      <c r="C6" s="155">
        <v>376.07499999999999</v>
      </c>
    </row>
    <row r="7" spans="1:3">
      <c r="A7" s="154">
        <v>44256</v>
      </c>
      <c r="B7" s="155">
        <v>410.02</v>
      </c>
      <c r="C7" s="155">
        <v>365.14</v>
      </c>
    </row>
    <row r="8" spans="1:3">
      <c r="A8" s="154">
        <v>44287</v>
      </c>
      <c r="B8" s="155">
        <v>413.36</v>
      </c>
      <c r="C8" s="155">
        <v>377.57499999999999</v>
      </c>
    </row>
    <row r="9" spans="1:3">
      <c r="A9" s="154">
        <v>44317</v>
      </c>
      <c r="B9" s="155">
        <v>421.03</v>
      </c>
      <c r="C9" s="155">
        <v>391.45</v>
      </c>
    </row>
    <row r="10" spans="1:3">
      <c r="A10" s="154">
        <v>44348</v>
      </c>
      <c r="B10" s="155">
        <v>378.18</v>
      </c>
      <c r="C10" s="155">
        <v>345.9</v>
      </c>
    </row>
    <row r="11" spans="1:3">
      <c r="A11" s="154">
        <v>44378</v>
      </c>
      <c r="B11" s="155">
        <v>365.23</v>
      </c>
      <c r="C11" s="155">
        <v>326.67499999999995</v>
      </c>
    </row>
    <row r="12" spans="1:3">
      <c r="A12" s="154">
        <v>44409</v>
      </c>
      <c r="B12" s="155">
        <v>358.21</v>
      </c>
      <c r="C12" s="155">
        <v>329.45</v>
      </c>
    </row>
    <row r="13" spans="1:3">
      <c r="A13" s="154">
        <v>44440</v>
      </c>
      <c r="B13" s="155">
        <v>343.55</v>
      </c>
      <c r="C13" s="155">
        <v>322.96249999999998</v>
      </c>
    </row>
    <row r="14" spans="1:3">
      <c r="A14" s="154">
        <v>44470</v>
      </c>
      <c r="B14" s="144">
        <v>325.43</v>
      </c>
      <c r="C14" s="144">
        <v>322.82499999999999</v>
      </c>
    </row>
    <row r="15" spans="1:3">
      <c r="A15" s="154">
        <v>44501</v>
      </c>
      <c r="B15" s="144">
        <v>358.73</v>
      </c>
      <c r="C15" s="144">
        <v>350.21999999999997</v>
      </c>
    </row>
    <row r="16" spans="1:3">
      <c r="A16" s="154">
        <v>44531</v>
      </c>
      <c r="B16" s="144">
        <v>399.53</v>
      </c>
      <c r="C16" s="144">
        <v>382.9666666666667</v>
      </c>
    </row>
    <row r="17" spans="1:3">
      <c r="A17" s="154">
        <v>44562</v>
      </c>
      <c r="B17" s="144">
        <v>421.21</v>
      </c>
      <c r="C17" s="144">
        <v>410.875</v>
      </c>
    </row>
    <row r="18" spans="1:3">
      <c r="A18" s="154">
        <v>44593</v>
      </c>
      <c r="B18" s="144">
        <v>460.45</v>
      </c>
      <c r="C18" s="144">
        <v>454.625</v>
      </c>
    </row>
    <row r="19" spans="1:3">
      <c r="A19" s="154">
        <v>44621</v>
      </c>
      <c r="B19" s="144">
        <v>493.97500000000002</v>
      </c>
      <c r="C19" s="144">
        <v>487.03750000000002</v>
      </c>
    </row>
    <row r="20" spans="1:3">
      <c r="A20" s="154">
        <v>44652</v>
      </c>
      <c r="B20" s="144">
        <v>475.35999999999996</v>
      </c>
      <c r="C20" s="144">
        <v>470.77999999999992</v>
      </c>
    </row>
    <row r="21" spans="1:3">
      <c r="A21" s="154">
        <v>44682</v>
      </c>
      <c r="B21" s="144">
        <v>441.27499999999998</v>
      </c>
      <c r="C21" s="144">
        <v>454.5</v>
      </c>
    </row>
    <row r="22" spans="1:3">
      <c r="A22" s="154">
        <v>44713</v>
      </c>
      <c r="B22" s="144">
        <v>445.92499999999995</v>
      </c>
      <c r="C22" s="144">
        <v>478.17499999999995</v>
      </c>
    </row>
    <row r="23" spans="1:3">
      <c r="A23" s="154">
        <v>44743</v>
      </c>
      <c r="B23" s="144">
        <v>467.87</v>
      </c>
      <c r="C23" s="144">
        <v>501.17999999999995</v>
      </c>
    </row>
    <row r="24" spans="1:3">
      <c r="A24" s="154">
        <v>44774</v>
      </c>
      <c r="B24" s="144">
        <v>510.90000000000009</v>
      </c>
      <c r="C24" s="144">
        <v>521.52500000000009</v>
      </c>
    </row>
    <row r="25" spans="1:3">
      <c r="A25" s="154"/>
      <c r="B25" s="144"/>
      <c r="C25" s="14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00C54-C1EA-45F9-8E09-006CD78895D8}">
  <dimension ref="A1:F18"/>
  <sheetViews>
    <sheetView zoomScale="90" zoomScaleNormal="90" workbookViewId="0">
      <selection activeCell="D12" sqref="D12"/>
    </sheetView>
  </sheetViews>
  <sheetFormatPr defaultColWidth="9.140625" defaultRowHeight="13.15"/>
  <cols>
    <col min="1" max="1" width="17.85546875" style="150" customWidth="1"/>
    <col min="2" max="2" width="10" style="145" bestFit="1" customWidth="1"/>
    <col min="3" max="3" width="8.85546875" style="145" bestFit="1" customWidth="1"/>
    <col min="4" max="4" width="8.28515625" style="145" customWidth="1"/>
    <col min="5" max="5" width="7.140625" style="145" bestFit="1" customWidth="1"/>
    <col min="6" max="16384" width="9.140625" style="145"/>
  </cols>
  <sheetData>
    <row r="1" spans="1:6" ht="35.25" customHeight="1">
      <c r="A1" s="152" t="s">
        <v>176</v>
      </c>
      <c r="B1" s="152" t="s">
        <v>177</v>
      </c>
      <c r="C1" s="152" t="s">
        <v>178</v>
      </c>
      <c r="D1" s="152" t="s">
        <v>179</v>
      </c>
      <c r="E1" s="152" t="s">
        <v>180</v>
      </c>
    </row>
    <row r="2" spans="1:6" ht="13.9">
      <c r="A2" s="146" t="s">
        <v>115</v>
      </c>
      <c r="B2" s="147">
        <v>3.8929999999999998</v>
      </c>
      <c r="C2" s="147">
        <v>21.457999999999998</v>
      </c>
      <c r="D2" s="147">
        <v>20.016999999999999</v>
      </c>
      <c r="E2" s="147">
        <v>75.287000000000006</v>
      </c>
      <c r="F2" s="147"/>
    </row>
    <row r="3" spans="1:6" ht="13.9">
      <c r="A3" s="146" t="s">
        <v>116</v>
      </c>
      <c r="B3" s="147">
        <v>2.3660000000000001</v>
      </c>
      <c r="C3" s="147">
        <v>20.724</v>
      </c>
      <c r="D3" s="147">
        <v>18.047999999999998</v>
      </c>
      <c r="E3" s="147">
        <v>72.885999999999996</v>
      </c>
      <c r="F3" s="147"/>
    </row>
    <row r="4" spans="1:6" ht="13.9">
      <c r="A4" s="146" t="s">
        <v>117</v>
      </c>
      <c r="B4" s="147">
        <v>2.2989999999999999</v>
      </c>
      <c r="C4" s="147">
        <v>19.911999999999999</v>
      </c>
      <c r="D4" s="147">
        <v>15.252000000000001</v>
      </c>
      <c r="E4" s="147">
        <v>69.635000000000005</v>
      </c>
      <c r="F4" s="147"/>
    </row>
    <row r="5" spans="1:6" ht="13.9">
      <c r="A5" s="146" t="s">
        <v>34</v>
      </c>
      <c r="B5" s="147">
        <v>4.7560000000000002</v>
      </c>
      <c r="C5" s="147">
        <v>19.484999999999999</v>
      </c>
      <c r="D5" s="147">
        <v>16.731999999999999</v>
      </c>
      <c r="E5" s="147">
        <v>73.850999999999999</v>
      </c>
      <c r="F5" s="147"/>
    </row>
    <row r="6" spans="1:6" ht="13.9">
      <c r="A6" s="146" t="s">
        <v>53</v>
      </c>
      <c r="B6" s="147">
        <v>6.7619999999999996</v>
      </c>
      <c r="C6" s="147">
        <v>13.757</v>
      </c>
      <c r="D6" s="147">
        <v>17.195</v>
      </c>
      <c r="E6" s="147">
        <v>73.835999999999999</v>
      </c>
      <c r="F6" s="147"/>
    </row>
    <row r="7" spans="1:6" ht="13.9">
      <c r="A7" s="146" t="s">
        <v>181</v>
      </c>
      <c r="B7" s="147">
        <v>6.1</v>
      </c>
      <c r="C7" s="147">
        <v>20</v>
      </c>
      <c r="D7" s="147">
        <v>17.95</v>
      </c>
      <c r="E7" s="147">
        <v>82.48</v>
      </c>
      <c r="F7" s="147"/>
    </row>
    <row r="8" spans="1:6" ht="13.9">
      <c r="A8" s="146" t="s">
        <v>182</v>
      </c>
      <c r="B8" s="147">
        <v>6.7</v>
      </c>
      <c r="C8" s="147">
        <v>20</v>
      </c>
      <c r="D8" s="147">
        <v>18.149999999999999</v>
      </c>
      <c r="E8" s="147">
        <v>83.144000000000005</v>
      </c>
      <c r="F8" s="147"/>
    </row>
    <row r="9" spans="1:6" ht="13.9">
      <c r="A9" s="146"/>
      <c r="B9" s="148"/>
      <c r="E9" s="147"/>
    </row>
    <row r="10" spans="1:6" ht="13.9">
      <c r="A10" s="146"/>
      <c r="B10" s="149"/>
      <c r="C10" s="149"/>
      <c r="D10" s="149"/>
    </row>
    <row r="11" spans="1:6" ht="13.9">
      <c r="B11" s="149"/>
    </row>
    <row r="12" spans="1:6" ht="13.9">
      <c r="B12" s="149"/>
      <c r="C12" s="149"/>
      <c r="D12" s="149"/>
      <c r="E12" s="149"/>
    </row>
    <row r="13" spans="1:6" ht="13.9">
      <c r="B13" s="149"/>
      <c r="C13" s="149"/>
      <c r="D13" s="149"/>
      <c r="E13" s="149"/>
    </row>
    <row r="14" spans="1:6" ht="13.9">
      <c r="B14" s="149"/>
      <c r="C14" s="149"/>
      <c r="D14" s="149"/>
      <c r="E14" s="149"/>
    </row>
    <row r="15" spans="1:6" ht="13.9">
      <c r="B15" s="149"/>
      <c r="C15" s="149"/>
      <c r="D15" s="149"/>
      <c r="E15" s="149"/>
    </row>
    <row r="16" spans="1:6" ht="13.9">
      <c r="B16" s="149"/>
      <c r="C16" s="149"/>
      <c r="D16" s="149"/>
      <c r="E16" s="149"/>
    </row>
    <row r="17" spans="2:5" ht="13.9">
      <c r="B17" s="149"/>
      <c r="C17" s="149"/>
      <c r="D17" s="149"/>
      <c r="E17" s="149"/>
    </row>
    <row r="18" spans="2:5" ht="13.9">
      <c r="B18" s="149"/>
      <c r="C18" s="149"/>
      <c r="D18" s="149"/>
      <c r="E18" s="149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4" ma:contentTypeDescription="Create a new document." ma:contentTypeScope="" ma:versionID="6b1a0caf0774e32845426cb3810d65d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7ed9e12bf1f8304dab8bd3f843b3f685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A8D954-8A64-4F7C-B553-C236DC8A07F7}"/>
</file>

<file path=customXml/itemProps2.xml><?xml version="1.0" encoding="utf-8"?>
<ds:datastoreItem xmlns:ds="http://schemas.openxmlformats.org/officeDocument/2006/customXml" ds:itemID="{2D9E4D74-FC99-4A2B-8BE6-0E26371C575A}"/>
</file>

<file path=customXml/itemProps3.xml><?xml version="1.0" encoding="utf-8"?>
<ds:datastoreItem xmlns:ds="http://schemas.openxmlformats.org/officeDocument/2006/customXml" ds:itemID="{74F9FD27-698A-4259-BC06-6D4A65A05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USDA, Economic Research Service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Aaron Ates;Maria Bukowski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Keel, Casey - REE-ERS</cp:lastModifiedBy>
  <cp:revision/>
  <dcterms:created xsi:type="dcterms:W3CDTF">2001-11-13T16:22:15Z</dcterms:created>
  <dcterms:modified xsi:type="dcterms:W3CDTF">2022-09-14T12:02:22Z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