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December 2021/"/>
    </mc:Choice>
  </mc:AlternateContent>
  <xr:revisionPtr revIDLastSave="17" documentId="13_ncr:1_{244E2AA3-6280-4C7F-BA25-366C880A21A3}" xr6:coauthVersionLast="46" xr6:coauthVersionMax="47" xr10:uidLastSave="{3A8117DC-993F-40DB-9064-8F2DAB9518B1}"/>
  <bookViews>
    <workbookView xWindow="-120" yWindow="-120" windowWidth="20730" windowHeight="1116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47" r:id="rId9"/>
    <sheet name="Figure 2" sheetId="43" r:id="rId10"/>
    <sheet name="Figure 3" sheetId="52" r:id="rId11"/>
    <sheet name="Figure 4" sheetId="49" r:id="rId12"/>
    <sheet name="Figure 5" sheetId="51" r:id="rId13"/>
    <sheet name="Figure 6" sheetId="50" r:id="rId14"/>
  </sheets>
  <definedNames>
    <definedName name="_xlnm.Print_Area" localSheetId="1">'Table 1'!$A$1:$N$35</definedName>
    <definedName name="_xlnm.Print_Area" localSheetId="7">'Table 10'!$A$1:$G$38</definedName>
    <definedName name="_xlnm.Print_Area" localSheetId="2">'Table 2'!$A$1:$J$28</definedName>
    <definedName name="_xlnm.Print_Area" localSheetId="3">'Table 3'!$A$1:$L$41</definedName>
    <definedName name="_xlnm.Print_Area" localSheetId="5">'Table 8'!$A$1:$G$36</definedName>
    <definedName name="_xlnm.Print_Area" localSheetId="6">'Table 9'!$A$1:$I$38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3" l="1"/>
  <c r="I11" i="9"/>
  <c r="I12" i="9"/>
  <c r="I13" i="9"/>
  <c r="I14" i="9"/>
  <c r="I15" i="9"/>
  <c r="I16" i="9"/>
  <c r="G11" i="9"/>
  <c r="G12" i="9"/>
  <c r="G13" i="9"/>
  <c r="G14" i="9"/>
  <c r="G15" i="9"/>
  <c r="G16" i="9"/>
  <c r="G17" i="9"/>
  <c r="H7" i="9"/>
  <c r="J7" i="9"/>
  <c r="J26" i="9" l="1"/>
  <c r="D26" i="9"/>
  <c r="H26" i="2"/>
  <c r="D26" i="2"/>
  <c r="L32" i="1"/>
  <c r="G32" i="1"/>
  <c r="J32" i="1" l="1"/>
  <c r="L33" i="1" l="1"/>
  <c r="E33" i="1"/>
  <c r="J33" i="1"/>
  <c r="G33" i="1"/>
  <c r="E26" i="9"/>
  <c r="K26" i="9" s="1"/>
  <c r="G26" i="9" s="1"/>
  <c r="B26" i="9"/>
  <c r="E26" i="2"/>
  <c r="I26" i="2" s="1"/>
  <c r="G26" i="2" s="1"/>
  <c r="B26" i="2"/>
  <c r="B21" i="3" l="1"/>
  <c r="B20" i="3"/>
  <c r="D20" i="9" l="1"/>
  <c r="D17" i="9"/>
  <c r="D16" i="9"/>
  <c r="D15" i="9"/>
  <c r="D14" i="9"/>
  <c r="D13" i="9"/>
  <c r="D12" i="9"/>
  <c r="D11" i="9"/>
  <c r="J22" i="9"/>
  <c r="D22" i="9"/>
  <c r="H22" i="2"/>
  <c r="D22" i="2"/>
  <c r="L31" i="1"/>
  <c r="G31" i="1"/>
  <c r="J31" i="1" l="1"/>
  <c r="L7" i="9" l="1"/>
  <c r="H23" i="9"/>
  <c r="C23" i="9"/>
  <c r="C7" i="9" s="1"/>
  <c r="B22" i="9"/>
  <c r="E22" i="9" s="1"/>
  <c r="K22" i="9" s="1"/>
  <c r="G22" i="9" s="1"/>
  <c r="I22" i="9" s="1"/>
  <c r="J7" i="2"/>
  <c r="H6" i="1"/>
  <c r="M6" i="1" s="1"/>
  <c r="K6" i="1" s="1"/>
  <c r="N7" i="1"/>
  <c r="C23" i="2"/>
  <c r="C7" i="2" s="1"/>
  <c r="B22" i="2"/>
  <c r="E22" i="2" s="1"/>
  <c r="I22" i="2" s="1"/>
  <c r="G22" i="2" s="1"/>
  <c r="D6" i="1"/>
  <c r="J21" i="9"/>
  <c r="D21" i="9"/>
  <c r="H21" i="2"/>
  <c r="D21" i="2"/>
  <c r="L26" i="1"/>
  <c r="G26" i="1"/>
  <c r="J26" i="1" l="1"/>
  <c r="J25" i="1"/>
  <c r="B21" i="9" l="1"/>
  <c r="E21" i="9" s="1"/>
  <c r="K21" i="9" s="1"/>
  <c r="G21" i="9" s="1"/>
  <c r="I21" i="9" s="1"/>
  <c r="B21" i="2"/>
  <c r="E21" i="2" s="1"/>
  <c r="I21" i="2" s="1"/>
  <c r="G21" i="2" s="1"/>
  <c r="E27" i="1"/>
  <c r="I31" i="3"/>
  <c r="G31" i="3"/>
  <c r="E31" i="3"/>
  <c r="J6" i="3"/>
  <c r="I19" i="3"/>
  <c r="H44" i="3"/>
  <c r="D44" i="3"/>
  <c r="J20" i="9" l="1"/>
  <c r="B20" i="9"/>
  <c r="E20" i="9" s="1"/>
  <c r="K20" i="9" s="1"/>
  <c r="H20" i="2"/>
  <c r="D20" i="2"/>
  <c r="B20" i="2"/>
  <c r="E20" i="2" s="1"/>
  <c r="I20" i="2" s="1"/>
  <c r="L25" i="1"/>
  <c r="G25" i="1"/>
  <c r="G20" i="9" l="1"/>
  <c r="G20" i="2"/>
  <c r="I20" i="9" l="1"/>
  <c r="D46" i="3"/>
  <c r="B8" i="9"/>
  <c r="B7" i="9"/>
  <c r="D8" i="1"/>
  <c r="J19" i="9"/>
  <c r="D19" i="9"/>
  <c r="H19" i="2"/>
  <c r="D19" i="2"/>
  <c r="E19" i="2" s="1"/>
  <c r="I19" i="2" s="1"/>
  <c r="G19" i="2" s="1"/>
  <c r="L24" i="1"/>
  <c r="L27" i="1" s="1"/>
  <c r="G24" i="1"/>
  <c r="G27" i="1" s="1"/>
  <c r="H27" i="1" s="1"/>
  <c r="M27" i="1" s="1"/>
  <c r="B19" i="9"/>
  <c r="B19" i="2"/>
  <c r="J24" i="1"/>
  <c r="J27" i="1" s="1"/>
  <c r="E19" i="9" l="1"/>
  <c r="K19" i="9" s="1"/>
  <c r="K27" i="1"/>
  <c r="G19" i="9"/>
  <c r="L44" i="3"/>
  <c r="J18" i="9"/>
  <c r="J17" i="9"/>
  <c r="J16" i="9"/>
  <c r="J15" i="9"/>
  <c r="J14" i="9"/>
  <c r="J13" i="9"/>
  <c r="J12" i="9"/>
  <c r="J11" i="9"/>
  <c r="D18" i="9"/>
  <c r="D23" i="9" s="1"/>
  <c r="D7" i="9" s="1"/>
  <c r="J23" i="9" l="1"/>
  <c r="I19" i="9"/>
  <c r="H18" i="2"/>
  <c r="H17" i="2"/>
  <c r="H16" i="2"/>
  <c r="H15" i="2"/>
  <c r="H14" i="2"/>
  <c r="H13" i="2"/>
  <c r="H12" i="2"/>
  <c r="H11" i="2"/>
  <c r="D18" i="2"/>
  <c r="D17" i="2"/>
  <c r="D16" i="2"/>
  <c r="D15" i="2"/>
  <c r="D14" i="2"/>
  <c r="D13" i="2"/>
  <c r="D12" i="2"/>
  <c r="D11" i="2"/>
  <c r="H23" i="2" l="1"/>
  <c r="H7" i="2" s="1"/>
  <c r="D23" i="2"/>
  <c r="D7" i="2" s="1"/>
  <c r="L22" i="1"/>
  <c r="L21" i="1"/>
  <c r="L20" i="1"/>
  <c r="L18" i="1"/>
  <c r="L17" i="1"/>
  <c r="L16" i="1"/>
  <c r="L14" i="1"/>
  <c r="L13" i="1"/>
  <c r="L12" i="1"/>
  <c r="G22" i="1"/>
  <c r="G21" i="1"/>
  <c r="G20" i="1"/>
  <c r="G18" i="1"/>
  <c r="G17" i="1"/>
  <c r="G16" i="1"/>
  <c r="G14" i="1"/>
  <c r="G13" i="1"/>
  <c r="G12" i="1"/>
  <c r="J22" i="1"/>
  <c r="J21" i="1"/>
  <c r="J20" i="1"/>
  <c r="J18" i="1"/>
  <c r="J17" i="1"/>
  <c r="J16" i="1"/>
  <c r="J14" i="1"/>
  <c r="J13" i="1"/>
  <c r="J12" i="1"/>
  <c r="I6" i="1" l="1"/>
  <c r="I17" i="9" l="1"/>
  <c r="B18" i="9"/>
  <c r="B18" i="2"/>
  <c r="E18" i="2" s="1"/>
  <c r="E23" i="1"/>
  <c r="G23" i="1"/>
  <c r="H23" i="1" l="1"/>
  <c r="M23" i="1" s="1"/>
  <c r="E18" i="9"/>
  <c r="K18" i="9" s="1"/>
  <c r="G18" i="9" s="1"/>
  <c r="G23" i="9" s="1"/>
  <c r="G7" i="9" s="1"/>
  <c r="I18" i="2"/>
  <c r="G18" i="2" s="1"/>
  <c r="B29" i="9"/>
  <c r="I18" i="9" l="1"/>
  <c r="I23" i="9" s="1"/>
  <c r="I7" i="9" s="1"/>
  <c r="I21" i="3"/>
  <c r="I20" i="3"/>
  <c r="B8" i="2" l="1"/>
  <c r="L23" i="1" l="1"/>
  <c r="B17" i="9" l="1"/>
  <c r="E17" i="9" s="1"/>
  <c r="J23" i="1"/>
  <c r="K23" i="1" s="1"/>
  <c r="B17" i="2"/>
  <c r="E17" i="2" s="1"/>
  <c r="K17" i="9" l="1"/>
  <c r="I17" i="2"/>
  <c r="G17" i="2" l="1"/>
  <c r="A16" i="10" l="1"/>
  <c r="B16" i="9" l="1"/>
  <c r="E16" i="9" s="1"/>
  <c r="K16" i="9" s="1"/>
  <c r="B16" i="2"/>
  <c r="E16" i="2"/>
  <c r="E8" i="2"/>
  <c r="E8" i="9"/>
  <c r="K8" i="9" s="1"/>
  <c r="G8" i="9" s="1"/>
  <c r="I8" i="9" s="1"/>
  <c r="I8" i="2" l="1"/>
  <c r="G8" i="2" s="1"/>
  <c r="I16" i="2"/>
  <c r="G16" i="2" s="1"/>
  <c r="B8" i="3"/>
  <c r="E8" i="3" s="1"/>
  <c r="E21" i="3"/>
  <c r="B33" i="3"/>
  <c r="E46" i="3"/>
  <c r="H46" i="3" s="1"/>
  <c r="L46" i="3" s="1"/>
  <c r="D45" i="3"/>
  <c r="E33" i="3" l="1"/>
  <c r="I33" i="3" s="1"/>
  <c r="G33" i="3" s="1"/>
  <c r="B15" i="2"/>
  <c r="E19" i="1"/>
  <c r="E15" i="2" l="1"/>
  <c r="I15" i="2" l="1"/>
  <c r="G15" i="2" s="1"/>
  <c r="E20" i="3"/>
  <c r="B15" i="9"/>
  <c r="E15" i="9" s="1"/>
  <c r="K15" i="9" s="1"/>
  <c r="B39" i="5" l="1"/>
  <c r="L19" i="1" l="1"/>
  <c r="G19" i="1"/>
  <c r="H19" i="1" s="1"/>
  <c r="M19" i="1" s="1"/>
  <c r="B14" i="2" l="1"/>
  <c r="E14" i="2" s="1"/>
  <c r="B14" i="9"/>
  <c r="E14" i="9" s="1"/>
  <c r="K14" i="9" s="1"/>
  <c r="J19" i="1"/>
  <c r="F28" i="1"/>
  <c r="F7" i="1" s="1"/>
  <c r="I14" i="2" l="1"/>
  <c r="K19" i="1"/>
  <c r="G14" i="2" l="1"/>
  <c r="B13" i="9" l="1"/>
  <c r="E13" i="9" s="1"/>
  <c r="K13" i="9" s="1"/>
  <c r="B13" i="2" l="1"/>
  <c r="E13" i="2" s="1"/>
  <c r="I13" i="2" l="1"/>
  <c r="G13" i="2" s="1"/>
  <c r="L15" i="1"/>
  <c r="L28" i="1" s="1"/>
  <c r="L7" i="1" s="1"/>
  <c r="B12" i="9" l="1"/>
  <c r="E12" i="9" s="1"/>
  <c r="K12" i="9" s="1"/>
  <c r="B12" i="2"/>
  <c r="E12" i="2" s="1"/>
  <c r="I12" i="2" l="1"/>
  <c r="G12" i="2" s="1"/>
  <c r="J15" i="1"/>
  <c r="J28" i="1" s="1"/>
  <c r="J7" i="1" s="1"/>
  <c r="E23" i="2"/>
  <c r="E7" i="2" s="1"/>
  <c r="G15" i="1" l="1"/>
  <c r="G28" i="1" s="1"/>
  <c r="G7" i="1" s="1"/>
  <c r="E23" i="9" l="1"/>
  <c r="E7" i="9" s="1"/>
  <c r="K7" i="9" s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D7" i="1" l="1"/>
  <c r="B50" i="3" l="1"/>
  <c r="E11" i="9" l="1"/>
  <c r="E11" i="2"/>
  <c r="B36" i="1"/>
  <c r="K11" i="9" l="1"/>
  <c r="K23" i="9" s="1"/>
  <c r="I11" i="2"/>
  <c r="I23" i="2" s="1"/>
  <c r="I7" i="2" s="1"/>
  <c r="G11" i="2"/>
  <c r="G23" i="2" s="1"/>
  <c r="G7" i="2" s="1"/>
  <c r="B40" i="6" l="1"/>
  <c r="B38" i="4"/>
  <c r="B29" i="2"/>
  <c r="B7" i="2" l="1"/>
  <c r="J8" i="3" l="1"/>
  <c r="I7" i="3"/>
  <c r="E7" i="1" l="1"/>
  <c r="H7" i="1" s="1"/>
  <c r="M7" i="1" s="1"/>
  <c r="K7" i="1" s="1"/>
  <c r="E15" i="1"/>
  <c r="H15" i="1" s="1"/>
  <c r="M15" i="1" s="1"/>
  <c r="H28" i="1" l="1"/>
  <c r="M28" i="1"/>
  <c r="K15" i="1"/>
  <c r="K28" i="1" s="1"/>
  <c r="E8" i="1" s="1"/>
  <c r="H8" i="1" s="1"/>
  <c r="M8" i="1" s="1"/>
  <c r="K8" i="1" s="1"/>
</calcChain>
</file>

<file path=xl/sharedStrings.xml><?xml version="1.0" encoding="utf-8"?>
<sst xmlns="http://schemas.openxmlformats.org/spreadsheetml/2006/main" count="506" uniqueCount="169">
  <si>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</si>
  <si>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</si>
  <si>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</si>
  <si>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</si>
  <si>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</si>
  <si>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</si>
  <si>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</si>
  <si>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</si>
  <si>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</si>
  <si>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</si>
  <si>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</si>
  <si>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</si>
  <si>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</si>
  <si>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</si>
  <si>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</si>
  <si>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</si>
  <si>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</si>
  <si>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</si>
  <si>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</si>
  <si>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</si>
  <si>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</si>
  <si>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</si>
  <si>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</si>
  <si>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</si>
  <si>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</si>
  <si>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</si>
  <si>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</si>
  <si>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</si>
  <si>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</si>
  <si>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</si>
  <si>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</si>
  <si>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</si>
  <si>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</si>
  <si>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2019/20</t>
  </si>
  <si>
    <r>
      <t>2020/21</t>
    </r>
    <r>
      <rPr>
        <vertAlign val="superscript"/>
        <sz val="11"/>
        <rFont val="Arial"/>
        <family val="2"/>
      </rPr>
      <t>1</t>
    </r>
  </si>
  <si>
    <r>
      <t>2021/22</t>
    </r>
    <r>
      <rPr>
        <vertAlign val="superscript"/>
        <sz val="11"/>
        <rFont val="Arial"/>
        <family val="2"/>
      </rPr>
      <t>2</t>
    </r>
  </si>
  <si>
    <t>Soybeans: Quarterly U.S. supply and disappearance</t>
  </si>
  <si>
    <t>2020/21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</si>
  <si>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</si>
  <si>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</si>
  <si>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</si>
  <si>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</si>
  <si>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</si>
  <si>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</si>
  <si>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</si>
  <si>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</si>
  <si>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</si>
  <si>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</si>
  <si>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</si>
  <si>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</si>
  <si>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</si>
  <si>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</si>
  <si>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</si>
  <si>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</si>
  <si>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</si>
  <si>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t>Total to Date</t>
  </si>
  <si>
    <r>
      <rPr>
        <sz val="11"/>
        <rFont val="Arial"/>
        <family val="2"/>
      </rPr>
      <t>NA: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</si>
  <si>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</si>
  <si>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</si>
  <si>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</si>
  <si>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</si>
  <si>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</si>
  <si>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</si>
  <si>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</si>
  <si>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</si>
  <si>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</si>
  <si>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</si>
  <si>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</si>
  <si>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</si>
  <si>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NA: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</si>
  <si>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</si>
  <si>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</si>
  <si>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</si>
  <si>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</si>
  <si>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</si>
  <si>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</si>
  <si>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</si>
  <si>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</si>
  <si>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NA: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</si>
  <si>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</si>
  <si>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</si>
  <si>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</si>
  <si>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</si>
  <si>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</si>
  <si>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</si>
  <si>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</si>
  <si>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</si>
  <si>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</si>
  <si>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</si>
  <si>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</si>
  <si>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</si>
  <si>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</si>
  <si>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</si>
  <si>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</si>
  <si>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residual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</si>
  <si>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</si>
  <si>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</si>
  <si>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</si>
  <si>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</si>
  <si>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</si>
  <si>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</si>
  <si>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</si>
  <si>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</si>
  <si>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</si>
  <si>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</si>
  <si>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</si>
  <si>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</si>
  <si>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</si>
  <si>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</si>
  <si>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</si>
  <si>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</si>
  <si>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</si>
  <si>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</si>
  <si>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</si>
  <si>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</si>
  <si>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</si>
  <si>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</si>
  <si>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</si>
  <si>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</si>
  <si>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</si>
  <si>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</si>
  <si>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</si>
  <si>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</si>
  <si>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</si>
  <si>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</si>
  <si>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</si>
  <si>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Sunflowerseed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</si>
  <si>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</si>
  <si>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</si>
  <si>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</si>
  <si>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5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</si>
  <si>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</si>
  <si>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</si>
  <si>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</si>
  <si>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</si>
  <si>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</si>
  <si>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tallow </t>
    </r>
    <r>
      <rPr>
        <vertAlign val="superscript"/>
        <sz val="11"/>
        <rFont val="Arial"/>
        <family val="2"/>
      </rPr>
      <t xml:space="preserve">5 </t>
    </r>
  </si>
  <si>
    <t>------------------------------------------------------- Cents per pound----------------------------------------------</t>
  </si>
  <si>
    <r>
      <t>2020/21</t>
    </r>
    <r>
      <rPr>
        <vertAlign val="superscript"/>
        <sz val="11"/>
        <rFont val="Arial"/>
        <family val="2"/>
      </rPr>
      <t>6</t>
    </r>
  </si>
  <si>
    <r>
      <t>2021/22</t>
    </r>
    <r>
      <rPr>
        <vertAlign val="superscript"/>
        <sz val="11"/>
        <rFont val="Arial"/>
        <family val="2"/>
      </rPr>
      <t>6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</si>
  <si>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</si>
  <si>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</si>
  <si>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</si>
  <si>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</si>
  <si>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</si>
  <si>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</si>
  <si>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</si>
  <si>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</si>
  <si>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</si>
  <si>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</si>
  <si>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</si>
  <si>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</si>
  <si>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t>2020/21</t>
    </r>
    <r>
      <rPr>
        <vertAlign val="superscript"/>
        <sz val="11"/>
        <rFont val="Arial"/>
        <family val="2"/>
      </rPr>
      <t>7</t>
    </r>
  </si>
  <si>
    <r>
      <t>2021/22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</si>
  <si>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</si>
  <si>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7 Preliminary. 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</si>
  <si>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</si>
  <si>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>Marketing year</t>
  </si>
  <si>
    <t>Biofuel</t>
  </si>
  <si>
    <t>Month</t>
  </si>
  <si>
    <t>Biodiesel</t>
  </si>
  <si>
    <t>Rest of the world</t>
  </si>
  <si>
    <t>Export</t>
  </si>
  <si>
    <t>Contact: Aaron M. Ates; Maria Bukowski</t>
  </si>
  <si>
    <t>Food and other</t>
  </si>
  <si>
    <t>Renewable diesel fuel</t>
  </si>
  <si>
    <t>Other biofuels</t>
  </si>
  <si>
    <t>Russia and Ukraine</t>
  </si>
  <si>
    <t>Food and other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</si>
</sst>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_);\(#,##0.0\)"/>
    <numFmt numFmtId="173" formatCode="_(* #,##0.00_);_(* \(#,##0.00\);_(* &quot;-&quot;_);_(@_)"/>
    <numFmt numFmtId="174" formatCode="_(* #,##0.000_);_(* \(#,##0.000\);_(* &quot;-&quot;_);_(@_)"/>
    <numFmt numFmtId="175" formatCode="_(* #,##0.0_);_(* \(#,##0.0\);_(* &quot;-&quot;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4" fillId="0" borderId="0"/>
    <xf numFmtId="0" fontId="9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8" applyFont="1"/>
    <xf numFmtId="0" fontId="12" fillId="0" borderId="0" xfId="8" applyFont="1"/>
    <xf numFmtId="0" fontId="17" fillId="0" borderId="0" xfId="8" applyFont="1" applyFill="1"/>
    <xf numFmtId="0" fontId="18" fillId="0" borderId="0" xfId="8" applyFont="1"/>
    <xf numFmtId="169" fontId="19" fillId="0" borderId="0" xfId="1" applyNumberFormat="1" applyFont="1" applyFill="1" applyAlignment="1">
      <alignment horizontal="right" indent="1"/>
    </xf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right" indent="1"/>
    </xf>
    <xf numFmtId="0" fontId="25" fillId="0" borderId="0" xfId="7" applyFont="1" applyAlignment="1">
      <alignment horizontal="left"/>
    </xf>
    <xf numFmtId="0" fontId="27" fillId="0" borderId="0" xfId="5" applyFont="1" applyAlignment="1" applyProtection="1"/>
    <xf numFmtId="14" fontId="25" fillId="0" borderId="0" xfId="7" applyNumberFormat="1" applyFont="1" applyAlignment="1">
      <alignment horizontal="left"/>
    </xf>
    <xf numFmtId="0" fontId="27" fillId="0" borderId="0" xfId="4" applyFont="1" applyAlignment="1" applyProtection="1"/>
    <xf numFmtId="0" fontId="19" fillId="0" borderId="0" xfId="7" quotePrefix="1" applyFont="1" applyAlignment="1">
      <alignment horizontal="left"/>
    </xf>
    <xf numFmtId="0" fontId="19" fillId="0" borderId="0" xfId="8" applyFont="1" applyBorder="1" applyAlignment="1">
      <alignment wrapText="1"/>
    </xf>
    <xf numFmtId="169" fontId="19" fillId="0" borderId="0" xfId="1" applyNumberFormat="1" applyFont="1" applyFill="1" applyBorder="1" applyAlignment="1">
      <alignment horizontal="right"/>
    </xf>
    <xf numFmtId="169" fontId="19" fillId="0" borderId="0" xfId="0" applyNumberFormat="1" applyFont="1" applyFill="1"/>
    <xf numFmtId="2" fontId="19" fillId="0" borderId="1" xfId="0" applyNumberFormat="1" applyFont="1" applyFill="1" applyBorder="1" applyAlignment="1">
      <alignment horizontal="right" indent="2"/>
    </xf>
    <xf numFmtId="0" fontId="19" fillId="0" borderId="1" xfId="0" applyFont="1" applyFill="1" applyBorder="1"/>
    <xf numFmtId="0" fontId="0" fillId="0" borderId="0" xfId="0" applyFill="1"/>
    <xf numFmtId="0" fontId="19" fillId="0" borderId="0" xfId="0" applyFont="1" applyFill="1"/>
    <xf numFmtId="0" fontId="19" fillId="0" borderId="2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0" fillId="0" borderId="2" xfId="0" applyFill="1" applyBorder="1"/>
    <xf numFmtId="0" fontId="19" fillId="0" borderId="0" xfId="0" applyFont="1" applyFill="1" applyBorder="1"/>
    <xf numFmtId="0" fontId="19" fillId="0" borderId="2" xfId="0" applyFont="1" applyFill="1" applyBorder="1" applyAlignment="1">
      <alignment horizontal="left"/>
    </xf>
    <xf numFmtId="0" fontId="19" fillId="0" borderId="0" xfId="0" applyFont="1" applyFill="1" applyAlignment="1">
      <alignment horizontal="right"/>
    </xf>
    <xf numFmtId="16" fontId="19" fillId="0" borderId="1" xfId="0" quotePrefix="1" applyNumberFormat="1" applyFont="1" applyFill="1" applyBorder="1"/>
    <xf numFmtId="16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0" fillId="0" borderId="3" xfId="0" quotePrefix="1" applyFont="1" applyFill="1" applyBorder="1" applyAlignment="1">
      <alignment horizontal="center"/>
    </xf>
    <xf numFmtId="0" fontId="20" fillId="0" borderId="0" xfId="0" quotePrefix="1" applyFont="1" applyFill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5" fontId="19" fillId="0" borderId="0" xfId="1" applyNumberFormat="1" applyFont="1" applyFill="1" applyAlignment="1">
      <alignment horizontal="left"/>
    </xf>
    <xf numFmtId="165" fontId="19" fillId="0" borderId="0" xfId="1" applyNumberFormat="1" applyFont="1" applyFill="1" applyAlignment="1">
      <alignment horizontal="center"/>
    </xf>
    <xf numFmtId="3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/>
    <xf numFmtId="169" fontId="19" fillId="0" borderId="0" xfId="1" quotePrefix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quotePrefix="1" applyNumberFormat="1" applyFont="1" applyFill="1" applyBorder="1" applyAlignment="1">
      <alignment horizontal="center"/>
    </xf>
    <xf numFmtId="169" fontId="19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9" fillId="0" borderId="0" xfId="0" applyNumberFormat="1" applyFont="1" applyFill="1"/>
    <xf numFmtId="169" fontId="19" fillId="0" borderId="1" xfId="1" applyNumberFormat="1" applyFont="1" applyFill="1" applyBorder="1" applyAlignment="1">
      <alignment horizontal="right" indent="1"/>
    </xf>
    <xf numFmtId="164" fontId="19" fillId="0" borderId="0" xfId="1" applyNumberFormat="1" applyFont="1" applyFill="1"/>
    <xf numFmtId="14" fontId="19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>
      <alignment horizontal="center"/>
    </xf>
    <xf numFmtId="0" fontId="25" fillId="0" borderId="0" xfId="0" applyFont="1" applyFill="1" applyBorder="1"/>
    <xf numFmtId="169" fontId="19" fillId="0" borderId="0" xfId="1" applyNumberFormat="1" applyFont="1" applyFill="1" applyBorder="1" applyAlignment="1">
      <alignment horizontal="right" indent="2"/>
    </xf>
    <xf numFmtId="169" fontId="19" fillId="0" borderId="1" xfId="1" applyNumberFormat="1" applyFont="1" applyFill="1" applyBorder="1" applyAlignment="1">
      <alignment horizontal="right" indent="2"/>
    </xf>
    <xf numFmtId="0" fontId="21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9" fillId="0" borderId="0" xfId="0" applyNumberFormat="1" applyFont="1" applyFill="1" applyBorder="1"/>
    <xf numFmtId="169" fontId="19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right"/>
    </xf>
    <xf numFmtId="16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right" indent="2"/>
    </xf>
    <xf numFmtId="170" fontId="19" fillId="0" borderId="0" xfId="0" applyNumberFormat="1" applyFont="1" applyFill="1" applyBorder="1"/>
    <xf numFmtId="43" fontId="19" fillId="0" borderId="0" xfId="1" quotePrefix="1" applyNumberFormat="1" applyFont="1" applyFill="1" applyBorder="1" applyAlignment="1">
      <alignment horizontal="center"/>
    </xf>
    <xf numFmtId="166" fontId="19" fillId="0" borderId="0" xfId="1" quotePrefix="1" applyNumberFormat="1" applyFont="1" applyFill="1" applyBorder="1" applyAlignment="1">
      <alignment horizontal="center"/>
    </xf>
    <xf numFmtId="43" fontId="19" fillId="0" borderId="0" xfId="1" quotePrefix="1" applyFont="1" applyFill="1" applyBorder="1" applyAlignment="1">
      <alignment horizontal="center"/>
    </xf>
    <xf numFmtId="43" fontId="19" fillId="0" borderId="0" xfId="1" applyNumberFormat="1" applyFont="1" applyFill="1" applyBorder="1" applyAlignment="1">
      <alignment horizontal="center"/>
    </xf>
    <xf numFmtId="0" fontId="25" fillId="0" borderId="0" xfId="0" quotePrefix="1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3" xfId="0" quotePrefix="1" applyFont="1" applyFill="1" applyBorder="1" applyAlignment="1"/>
    <xf numFmtId="0" fontId="20" fillId="0" borderId="3" xfId="0" applyFont="1" applyFill="1" applyBorder="1" applyAlignment="1"/>
    <xf numFmtId="43" fontId="19" fillId="0" borderId="0" xfId="1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43" fontId="19" fillId="0" borderId="0" xfId="0" applyNumberFormat="1" applyFont="1" applyFill="1"/>
    <xf numFmtId="0" fontId="14" fillId="0" borderId="0" xfId="0" applyFont="1" applyFill="1"/>
    <xf numFmtId="2" fontId="0" fillId="0" borderId="0" xfId="0" applyNumberFormat="1" applyFill="1"/>
    <xf numFmtId="165" fontId="19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9" fillId="0" borderId="0" xfId="1" applyFont="1" applyFill="1" applyBorder="1" applyAlignment="1">
      <alignment horizontal="center"/>
    </xf>
    <xf numFmtId="43" fontId="0" fillId="0" borderId="0" xfId="1" applyFont="1" applyFill="1"/>
    <xf numFmtId="43" fontId="10" fillId="0" borderId="0" xfId="1" applyFont="1" applyFill="1"/>
    <xf numFmtId="0" fontId="23" fillId="0" borderId="0" xfId="0" applyFont="1" applyFill="1" applyAlignment="1">
      <alignment vertical="center"/>
    </xf>
    <xf numFmtId="168" fontId="0" fillId="0" borderId="0" xfId="0" applyNumberFormat="1" applyFill="1"/>
    <xf numFmtId="0" fontId="26" fillId="0" borderId="0" xfId="0" applyFont="1" applyFill="1"/>
    <xf numFmtId="168" fontId="19" fillId="0" borderId="0" xfId="0" applyNumberFormat="1" applyFont="1" applyFill="1"/>
    <xf numFmtId="2" fontId="19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9" fillId="0" borderId="3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1" applyNumberFormat="1" applyFont="1" applyFill="1" applyAlignment="1">
      <alignment horizontal="center"/>
    </xf>
    <xf numFmtId="37" fontId="19" fillId="0" borderId="0" xfId="1" applyNumberFormat="1" applyFont="1" applyFill="1" applyAlignment="1">
      <alignment horizontal="right" indent="2"/>
    </xf>
    <xf numFmtId="165" fontId="19" fillId="0" borderId="0" xfId="1" applyNumberFormat="1" applyFont="1" applyFill="1"/>
    <xf numFmtId="37" fontId="19" fillId="0" borderId="0" xfId="1" applyNumberFormat="1" applyFont="1" applyFill="1" applyAlignment="1">
      <alignment horizontal="right" indent="1"/>
    </xf>
    <xf numFmtId="37" fontId="19" fillId="0" borderId="0" xfId="1" applyNumberFormat="1" applyFont="1" applyFill="1" applyBorder="1" applyAlignment="1">
      <alignment horizontal="center"/>
    </xf>
    <xf numFmtId="37" fontId="19" fillId="0" borderId="0" xfId="1" applyNumberFormat="1" applyFont="1" applyFill="1" applyBorder="1" applyAlignment="1">
      <alignment horizontal="right" indent="2"/>
    </xf>
    <xf numFmtId="165" fontId="19" fillId="0" borderId="0" xfId="1" applyNumberFormat="1" applyFont="1" applyFill="1" applyBorder="1"/>
    <xf numFmtId="37" fontId="19" fillId="0" borderId="0" xfId="1" applyNumberFormat="1" applyFont="1" applyFill="1" applyBorder="1" applyAlignment="1">
      <alignment horizontal="right" indent="1"/>
    </xf>
    <xf numFmtId="37" fontId="19" fillId="0" borderId="1" xfId="1" applyNumberFormat="1" applyFont="1" applyFill="1" applyBorder="1" applyAlignment="1">
      <alignment horizontal="center"/>
    </xf>
    <xf numFmtId="37" fontId="19" fillId="0" borderId="1" xfId="1" applyNumberFormat="1" applyFont="1" applyFill="1" applyBorder="1" applyAlignment="1">
      <alignment horizontal="right" indent="2"/>
    </xf>
    <xf numFmtId="165" fontId="19" fillId="0" borderId="1" xfId="1" applyNumberFormat="1" applyFont="1" applyFill="1" applyBorder="1"/>
    <xf numFmtId="37" fontId="19" fillId="0" borderId="1" xfId="1" applyNumberFormat="1" applyFont="1" applyFill="1" applyBorder="1" applyAlignment="1">
      <alignment horizontal="right" indent="1"/>
    </xf>
    <xf numFmtId="9" fontId="19" fillId="0" borderId="0" xfId="12" applyFont="1" applyFill="1"/>
    <xf numFmtId="1" fontId="19" fillId="0" borderId="0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center"/>
    </xf>
    <xf numFmtId="14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3" fontId="0" fillId="0" borderId="0" xfId="0" applyNumberFormat="1" applyFill="1"/>
    <xf numFmtId="169" fontId="19" fillId="0" borderId="0" xfId="1" applyNumberFormat="1" applyFont="1" applyFill="1" applyAlignment="1">
      <alignment horizontal="center"/>
    </xf>
    <xf numFmtId="4" fontId="0" fillId="0" borderId="0" xfId="0" applyNumberFormat="1" applyFill="1"/>
    <xf numFmtId="2" fontId="14" fillId="0" borderId="0" xfId="0" applyNumberFormat="1" applyFont="1" applyFill="1"/>
    <xf numFmtId="0" fontId="29" fillId="0" borderId="1" xfId="29" applyFont="1" applyFill="1" applyBorder="1" applyAlignment="1">
      <alignment horizontal="center" wrapText="1"/>
    </xf>
    <xf numFmtId="0" fontId="28" fillId="0" borderId="0" xfId="29" applyFont="1" applyFill="1"/>
    <xf numFmtId="0" fontId="28" fillId="0" borderId="0" xfId="29" applyFont="1" applyFill="1" applyAlignment="1">
      <alignment horizontal="center"/>
    </xf>
    <xf numFmtId="41" fontId="28" fillId="0" borderId="0" xfId="32" applyNumberFormat="1" applyFont="1" applyFill="1" applyAlignment="1">
      <alignment horizontal="center"/>
    </xf>
    <xf numFmtId="41" fontId="28" fillId="0" borderId="0" xfId="32" applyNumberFormat="1" applyFont="1" applyFill="1"/>
    <xf numFmtId="165" fontId="31" fillId="0" borderId="0" xfId="1" applyNumberFormat="1" applyFont="1" applyFill="1"/>
    <xf numFmtId="0" fontId="21" fillId="0" borderId="3" xfId="0" applyFont="1" applyFill="1" applyBorder="1"/>
    <xf numFmtId="164" fontId="19" fillId="0" borderId="3" xfId="0" applyNumberFormat="1" applyFont="1" applyFill="1" applyBorder="1"/>
    <xf numFmtId="43" fontId="19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10" fillId="0" borderId="0" xfId="0" applyFont="1" applyAlignment="1"/>
    <xf numFmtId="0" fontId="29" fillId="0" borderId="1" xfId="29" applyFont="1" applyFill="1" applyBorder="1" applyAlignment="1">
      <alignment horizontal="center"/>
    </xf>
    <xf numFmtId="0" fontId="29" fillId="0" borderId="0" xfId="29" applyFont="1" applyFill="1" applyBorder="1" applyAlignment="1">
      <alignment horizontal="center" wrapText="1"/>
    </xf>
    <xf numFmtId="0" fontId="29" fillId="0" borderId="1" xfId="29" applyFont="1" applyBorder="1" applyAlignment="1">
      <alignment horizontal="center" wrapText="1"/>
    </xf>
    <xf numFmtId="0" fontId="32" fillId="0" borderId="0" xfId="0" quotePrefix="1" applyFont="1" applyAlignment="1">
      <alignment horizontal="center"/>
    </xf>
    <xf numFmtId="172" fontId="32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1" fontId="1" fillId="0" borderId="0" xfId="34" applyNumberFormat="1" applyFont="1" applyFill="1" applyAlignment="1">
      <alignment horizontal="center"/>
    </xf>
    <xf numFmtId="165" fontId="32" fillId="0" borderId="0" xfId="1" applyNumberFormat="1" applyFont="1" applyAlignment="1">
      <alignment horizontal="right"/>
    </xf>
    <xf numFmtId="0" fontId="29" fillId="0" borderId="1" xfId="29" applyFont="1" applyBorder="1" applyAlignment="1">
      <alignment horizontal="center"/>
    </xf>
    <xf numFmtId="1" fontId="10" fillId="0" borderId="0" xfId="0" applyNumberFormat="1" applyFont="1" applyAlignment="1"/>
    <xf numFmtId="1" fontId="0" fillId="0" borderId="0" xfId="0" applyNumberFormat="1"/>
    <xf numFmtId="41" fontId="28" fillId="0" borderId="0" xfId="29" applyNumberFormat="1" applyFont="1" applyFill="1"/>
    <xf numFmtId="41" fontId="28" fillId="0" borderId="0" xfId="29" applyNumberFormat="1" applyFont="1"/>
    <xf numFmtId="173" fontId="28" fillId="0" borderId="0" xfId="32" applyNumberFormat="1" applyFont="1" applyFill="1" applyAlignment="1">
      <alignment horizontal="center"/>
    </xf>
    <xf numFmtId="174" fontId="28" fillId="0" borderId="0" xfId="32" applyNumberFormat="1" applyFont="1" applyFill="1" applyAlignment="1">
      <alignment horizontal="center"/>
    </xf>
    <xf numFmtId="175" fontId="28" fillId="0" borderId="0" xfId="29" applyNumberFormat="1" applyFont="1" applyFill="1"/>
    <xf numFmtId="175" fontId="28" fillId="0" borderId="0" xfId="29" applyNumberFormat="1" applyFont="1"/>
    <xf numFmtId="0" fontId="17" fillId="0" borderId="1" xfId="0" quotePrefix="1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0" fillId="0" borderId="0" xfId="8" applyFont="1"/>
    <xf numFmtId="0" fontId="10" fillId="0" borderId="0" xfId="8" applyFont="1" applyFill="1"/>
    <xf numFmtId="0" fontId="10" fillId="0" borderId="0" xfId="0" applyFont="1" applyFill="1" applyBorder="1"/>
    <xf numFmtId="0" fontId="10" fillId="0" borderId="0" xfId="0" applyFont="1" applyFill="1"/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2" xfId="0" quotePrefix="1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66FF"/>
      <color rgb="FF0000FF"/>
      <color rgb="FFFFFF00"/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Historical and Projected Soybean Oil Supply and Demand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7677191837757089"/>
          <c:w val="0.88062975165261048"/>
          <c:h val="0.6396460455866295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1'!$A$2:$A$6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'Figure 1'!$B$2:$B$6</c:f>
              <c:numCache>
                <c:formatCode>_(* #,##0_);_(* \(#,##0\);_(* "-"_);_(@_)</c:formatCode>
                <c:ptCount val="5"/>
                <c:pt idx="0">
                  <c:v>7333.71</c:v>
                </c:pt>
                <c:pt idx="1">
                  <c:v>8663.2999999999993</c:v>
                </c:pt>
                <c:pt idx="2">
                  <c:v>8657.82</c:v>
                </c:pt>
                <c:pt idx="3">
                  <c:v>8850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B-4933-B3CA-2C08627B6251}"/>
            </c:ext>
          </c:extLst>
        </c:ser>
        <c:ser>
          <c:idx val="1"/>
          <c:order val="2"/>
          <c:tx>
            <c:strRef>
              <c:f>'Figure 1'!$C$1</c:f>
              <c:strCache>
                <c:ptCount val="1"/>
                <c:pt idx="0">
                  <c:v>Food and other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1'!$A$2:$A$6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'Figure 1'!$C$2:$C$6</c:f>
              <c:numCache>
                <c:formatCode>_(* #,##0_);_(* \(#,##0\);_(* "-"_);_(@_)</c:formatCode>
                <c:ptCount val="5"/>
                <c:pt idx="0">
                  <c:v>14046.500607507569</c:v>
                </c:pt>
                <c:pt idx="1">
                  <c:v>14210.857005018133</c:v>
                </c:pt>
                <c:pt idx="2">
                  <c:v>13659.14198267788</c:v>
                </c:pt>
                <c:pt idx="3">
                  <c:v>14426.981507567336</c:v>
                </c:pt>
                <c:pt idx="4">
                  <c:v>14150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B-4933-B3CA-2C08627B6251}"/>
            </c:ext>
          </c:extLst>
        </c:ser>
        <c:ser>
          <c:idx val="3"/>
          <c:order val="3"/>
          <c:tx>
            <c:strRef>
              <c:f>'Figure 1'!$D$1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1'!$A$2:$A$6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'Figure 1'!$D$2:$D$6</c:f>
              <c:numCache>
                <c:formatCode>_(* #,##0_);_(* \(#,##0\);_(* "-"_);_(@_)</c:formatCode>
                <c:ptCount val="5"/>
                <c:pt idx="0">
                  <c:v>2443.0375649191838</c:v>
                </c:pt>
                <c:pt idx="1">
                  <c:v>1940.4219679927719</c:v>
                </c:pt>
                <c:pt idx="2">
                  <c:v>2836.6907911634057</c:v>
                </c:pt>
                <c:pt idx="3">
                  <c:v>1723.4987866846579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B-4933-B3CA-2C08627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0"/>
          <c:order val="1"/>
          <c:tx>
            <c:strRef>
              <c:f>'Figure 1'!$E$1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1'!$A$2:$A$6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'Figure 1'!$E$2:$E$6</c:f>
              <c:numCache>
                <c:formatCode>_(* #,##0_);_(* \(#,##0\);_(* "-"_);_(@_)</c:formatCode>
                <c:ptCount val="5"/>
                <c:pt idx="0">
                  <c:v>23772.428</c:v>
                </c:pt>
                <c:pt idx="1">
                  <c:v>24197.199000000001</c:v>
                </c:pt>
                <c:pt idx="2">
                  <c:v>24911.125</c:v>
                </c:pt>
                <c:pt idx="3">
                  <c:v>25022.667000000001</c:v>
                </c:pt>
                <c:pt idx="4">
                  <c:v>25735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B-4933-B3CA-2C08627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30267258598"/>
              <c:y val="0.8939246525579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28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56867608835E-2"/>
              <c:y val="9.906865265218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30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033552550680767"/>
          <c:y val="0.11403858623751729"/>
          <c:w val="0.6489973244459144"/>
          <c:h val="6.7774181308875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Biomass-based Diesel Production</a:t>
            </a:r>
            <a:endParaRPr lang="en-US" sz="1050" b="1"/>
          </a:p>
        </c:rich>
      </c:tx>
      <c:layout>
        <c:manualLayout>
          <c:xMode val="edge"/>
          <c:yMode val="edge"/>
          <c:x val="1.4458792104600688E-3"/>
          <c:y val="6.289252305000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60110426110306E-2"/>
          <c:y val="0.17323615317316104"/>
          <c:w val="0.87385084027579496"/>
          <c:h val="0.56978639208560466"/>
        </c:manualLayout>
      </c:layout>
      <c:areaChart>
        <c:grouping val="stack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2'!$A$2:$A$93</c:f>
              <c:numCache>
                <c:formatCode>mmm\-yy</c:formatCode>
                <c:ptCount val="9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</c:numCache>
            </c:numRef>
          </c:cat>
          <c:val>
            <c:numRef>
              <c:f>'Figure 2'!$B$2:$B$93</c:f>
              <c:numCache>
                <c:formatCode>0</c:formatCode>
                <c:ptCount val="92"/>
                <c:pt idx="0">
                  <c:v>72.540000000000006</c:v>
                </c:pt>
                <c:pt idx="1">
                  <c:v>75.643000000000001</c:v>
                </c:pt>
                <c:pt idx="2">
                  <c:v>99.177999999999997</c:v>
                </c:pt>
                <c:pt idx="3">
                  <c:v>93.352000000000004</c:v>
                </c:pt>
                <c:pt idx="4">
                  <c:v>106.31399999999999</c:v>
                </c:pt>
                <c:pt idx="5">
                  <c:v>111.07</c:v>
                </c:pt>
                <c:pt idx="6">
                  <c:v>122.887</c:v>
                </c:pt>
                <c:pt idx="7">
                  <c:v>125.437</c:v>
                </c:pt>
                <c:pt idx="8">
                  <c:v>115.67700000000001</c:v>
                </c:pt>
                <c:pt idx="9">
                  <c:v>122.988</c:v>
                </c:pt>
                <c:pt idx="10">
                  <c:v>109.639</c:v>
                </c:pt>
                <c:pt idx="11">
                  <c:v>124.254</c:v>
                </c:pt>
                <c:pt idx="12">
                  <c:v>72.546000000000006</c:v>
                </c:pt>
                <c:pt idx="13">
                  <c:v>77.736000000000004</c:v>
                </c:pt>
                <c:pt idx="14">
                  <c:v>97.673000000000002</c:v>
                </c:pt>
                <c:pt idx="15">
                  <c:v>107.85</c:v>
                </c:pt>
                <c:pt idx="16">
                  <c:v>116.94</c:v>
                </c:pt>
                <c:pt idx="17">
                  <c:v>121.824</c:v>
                </c:pt>
                <c:pt idx="18">
                  <c:v>121.07599999999999</c:v>
                </c:pt>
                <c:pt idx="19">
                  <c:v>123.176</c:v>
                </c:pt>
                <c:pt idx="20">
                  <c:v>104.119</c:v>
                </c:pt>
                <c:pt idx="21">
                  <c:v>106.467</c:v>
                </c:pt>
                <c:pt idx="22">
                  <c:v>105.883</c:v>
                </c:pt>
                <c:pt idx="23">
                  <c:v>108.057</c:v>
                </c:pt>
                <c:pt idx="24">
                  <c:v>104.57599999999999</c:v>
                </c:pt>
                <c:pt idx="25">
                  <c:v>105.154</c:v>
                </c:pt>
                <c:pt idx="26">
                  <c:v>120.15900000000001</c:v>
                </c:pt>
                <c:pt idx="27">
                  <c:v>119.95099999999999</c:v>
                </c:pt>
                <c:pt idx="28">
                  <c:v>135.34399999999999</c:v>
                </c:pt>
                <c:pt idx="29">
                  <c:v>134.62</c:v>
                </c:pt>
                <c:pt idx="30">
                  <c:v>139.887</c:v>
                </c:pt>
                <c:pt idx="31">
                  <c:v>142.17699999999999</c:v>
                </c:pt>
                <c:pt idx="32">
                  <c:v>134.667</c:v>
                </c:pt>
                <c:pt idx="33">
                  <c:v>144.19200000000001</c:v>
                </c:pt>
                <c:pt idx="34">
                  <c:v>143.15199999999999</c:v>
                </c:pt>
                <c:pt idx="35">
                  <c:v>143.851</c:v>
                </c:pt>
                <c:pt idx="36">
                  <c:v>92.757000000000005</c:v>
                </c:pt>
                <c:pt idx="37">
                  <c:v>93.983000000000004</c:v>
                </c:pt>
                <c:pt idx="38">
                  <c:v>115.973</c:v>
                </c:pt>
                <c:pt idx="39">
                  <c:v>126.821</c:v>
                </c:pt>
                <c:pt idx="40">
                  <c:v>136.18100000000001</c:v>
                </c:pt>
                <c:pt idx="41">
                  <c:v>140.459</c:v>
                </c:pt>
                <c:pt idx="42">
                  <c:v>149.51300000000001</c:v>
                </c:pt>
                <c:pt idx="43">
                  <c:v>149.48599999999999</c:v>
                </c:pt>
                <c:pt idx="44">
                  <c:v>147.29300000000001</c:v>
                </c:pt>
                <c:pt idx="45">
                  <c:v>147.624</c:v>
                </c:pt>
                <c:pt idx="46">
                  <c:v>147.97999999999999</c:v>
                </c:pt>
                <c:pt idx="47">
                  <c:v>147.63900000000001</c:v>
                </c:pt>
                <c:pt idx="48">
                  <c:v>125.52500000000001</c:v>
                </c:pt>
                <c:pt idx="49">
                  <c:v>127.94499999999999</c:v>
                </c:pt>
                <c:pt idx="50">
                  <c:v>149.12700000000001</c:v>
                </c:pt>
                <c:pt idx="51">
                  <c:v>142.52500000000001</c:v>
                </c:pt>
                <c:pt idx="52">
                  <c:v>151.31200000000001</c:v>
                </c:pt>
                <c:pt idx="53">
                  <c:v>158.86699999999999</c:v>
                </c:pt>
                <c:pt idx="54">
                  <c:v>166.33099999999999</c:v>
                </c:pt>
                <c:pt idx="55">
                  <c:v>172.28</c:v>
                </c:pt>
                <c:pt idx="56">
                  <c:v>164.39599999999999</c:v>
                </c:pt>
                <c:pt idx="57">
                  <c:v>170.952</c:v>
                </c:pt>
                <c:pt idx="58">
                  <c:v>160.273</c:v>
                </c:pt>
                <c:pt idx="59">
                  <c:v>167.785</c:v>
                </c:pt>
                <c:pt idx="60">
                  <c:v>143.917</c:v>
                </c:pt>
                <c:pt idx="61">
                  <c:v>130.529</c:v>
                </c:pt>
                <c:pt idx="62">
                  <c:v>140.82499999999999</c:v>
                </c:pt>
                <c:pt idx="63">
                  <c:v>152.149</c:v>
                </c:pt>
                <c:pt idx="64">
                  <c:v>154.59</c:v>
                </c:pt>
                <c:pt idx="65">
                  <c:v>141.553</c:v>
                </c:pt>
                <c:pt idx="66">
                  <c:v>158.61000000000001</c:v>
                </c:pt>
                <c:pt idx="67">
                  <c:v>155.898</c:v>
                </c:pt>
                <c:pt idx="68">
                  <c:v>141.846</c:v>
                </c:pt>
                <c:pt idx="69">
                  <c:v>144.31399999999999</c:v>
                </c:pt>
                <c:pt idx="70">
                  <c:v>127.42400000000001</c:v>
                </c:pt>
                <c:pt idx="71">
                  <c:v>132.85</c:v>
                </c:pt>
                <c:pt idx="72">
                  <c:v>134.233</c:v>
                </c:pt>
                <c:pt idx="73">
                  <c:v>131.82900000000001</c:v>
                </c:pt>
                <c:pt idx="74">
                  <c:v>150.94499999999999</c:v>
                </c:pt>
                <c:pt idx="75">
                  <c:v>143.72900000000001</c:v>
                </c:pt>
                <c:pt idx="76">
                  <c:v>152.47999999999999</c:v>
                </c:pt>
                <c:pt idx="77">
                  <c:v>150.80000000000001</c:v>
                </c:pt>
                <c:pt idx="78">
                  <c:v>161.66900000000001</c:v>
                </c:pt>
                <c:pt idx="79">
                  <c:v>162.60900000000001</c:v>
                </c:pt>
                <c:pt idx="80">
                  <c:v>159.161</c:v>
                </c:pt>
                <c:pt idx="81">
                  <c:v>157.203</c:v>
                </c:pt>
                <c:pt idx="82">
                  <c:v>152.06700000000001</c:v>
                </c:pt>
                <c:pt idx="83">
                  <c:v>157.97399999999999</c:v>
                </c:pt>
                <c:pt idx="84">
                  <c:v>130.83000000000001</c:v>
                </c:pt>
                <c:pt idx="85">
                  <c:v>101.05200000000001</c:v>
                </c:pt>
                <c:pt idx="86">
                  <c:v>141.6</c:v>
                </c:pt>
                <c:pt idx="87">
                  <c:v>134.80799999999999</c:v>
                </c:pt>
                <c:pt idx="88">
                  <c:v>148.56</c:v>
                </c:pt>
                <c:pt idx="89">
                  <c:v>136.119</c:v>
                </c:pt>
                <c:pt idx="90">
                  <c:v>140.125</c:v>
                </c:pt>
                <c:pt idx="91">
                  <c:v>139.65600000000001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7-4E46-896D-7A0D8B096427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Renewable diesel fuel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'Figure 2'!$A$2:$A$93</c:f>
              <c:numCache>
                <c:formatCode>mmm\-yy</c:formatCode>
                <c:ptCount val="9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</c:numCache>
            </c:numRef>
          </c:cat>
          <c:val>
            <c:numRef>
              <c:f>'Figure 2'!$C$2:$C$93</c:f>
              <c:numCache>
                <c:formatCode>0</c:formatCode>
                <c:ptCount val="92"/>
                <c:pt idx="0">
                  <c:v>10.329000000000001</c:v>
                </c:pt>
                <c:pt idx="1">
                  <c:v>12.292999999999999</c:v>
                </c:pt>
                <c:pt idx="2">
                  <c:v>14.952999999999999</c:v>
                </c:pt>
                <c:pt idx="3">
                  <c:v>13.676</c:v>
                </c:pt>
                <c:pt idx="4">
                  <c:v>16.219000000000001</c:v>
                </c:pt>
                <c:pt idx="5">
                  <c:v>15.664999999999999</c:v>
                </c:pt>
                <c:pt idx="6">
                  <c:v>13.997999999999999</c:v>
                </c:pt>
                <c:pt idx="7">
                  <c:v>2.0430000000000001</c:v>
                </c:pt>
                <c:pt idx="8">
                  <c:v>5.9489999999999998</c:v>
                </c:pt>
                <c:pt idx="9">
                  <c:v>14.722</c:v>
                </c:pt>
                <c:pt idx="10">
                  <c:v>16.463000000000001</c:v>
                </c:pt>
                <c:pt idx="11">
                  <c:v>22.831</c:v>
                </c:pt>
                <c:pt idx="12">
                  <c:v>17.504999999999999</c:v>
                </c:pt>
                <c:pt idx="13">
                  <c:v>13.481</c:v>
                </c:pt>
                <c:pt idx="14">
                  <c:v>16.11</c:v>
                </c:pt>
                <c:pt idx="15">
                  <c:v>15.733000000000001</c:v>
                </c:pt>
                <c:pt idx="16">
                  <c:v>15.741</c:v>
                </c:pt>
                <c:pt idx="17">
                  <c:v>14.42</c:v>
                </c:pt>
                <c:pt idx="18">
                  <c:v>15.521000000000001</c:v>
                </c:pt>
                <c:pt idx="19">
                  <c:v>15.1</c:v>
                </c:pt>
                <c:pt idx="20">
                  <c:v>13.846</c:v>
                </c:pt>
                <c:pt idx="21">
                  <c:v>13.414</c:v>
                </c:pt>
                <c:pt idx="22">
                  <c:v>12.656000000000001</c:v>
                </c:pt>
                <c:pt idx="23">
                  <c:v>13.321</c:v>
                </c:pt>
                <c:pt idx="24">
                  <c:v>11.757999999999999</c:v>
                </c:pt>
                <c:pt idx="25">
                  <c:v>7.3550000000000004</c:v>
                </c:pt>
                <c:pt idx="26">
                  <c:v>17.925000000000001</c:v>
                </c:pt>
                <c:pt idx="27">
                  <c:v>21.253</c:v>
                </c:pt>
                <c:pt idx="28">
                  <c:v>21.933</c:v>
                </c:pt>
                <c:pt idx="29">
                  <c:v>22.568999999999999</c:v>
                </c:pt>
                <c:pt idx="30">
                  <c:v>19.52</c:v>
                </c:pt>
                <c:pt idx="31">
                  <c:v>24.8</c:v>
                </c:pt>
                <c:pt idx="32">
                  <c:v>19.215</c:v>
                </c:pt>
                <c:pt idx="33">
                  <c:v>20.64</c:v>
                </c:pt>
                <c:pt idx="34">
                  <c:v>27.361000000000001</c:v>
                </c:pt>
                <c:pt idx="35">
                  <c:v>27.157</c:v>
                </c:pt>
                <c:pt idx="36">
                  <c:v>18.561</c:v>
                </c:pt>
                <c:pt idx="37">
                  <c:v>21.042999999999999</c:v>
                </c:pt>
                <c:pt idx="38">
                  <c:v>15.856999999999999</c:v>
                </c:pt>
                <c:pt idx="39">
                  <c:v>20.402999999999999</c:v>
                </c:pt>
                <c:pt idx="40">
                  <c:v>24.393000000000001</c:v>
                </c:pt>
                <c:pt idx="41">
                  <c:v>17.747</c:v>
                </c:pt>
                <c:pt idx="42">
                  <c:v>19.652000000000001</c:v>
                </c:pt>
                <c:pt idx="43">
                  <c:v>24.672000000000001</c:v>
                </c:pt>
                <c:pt idx="44">
                  <c:v>21.966999999999999</c:v>
                </c:pt>
                <c:pt idx="45">
                  <c:v>25.347000000000001</c:v>
                </c:pt>
                <c:pt idx="46">
                  <c:v>23.177</c:v>
                </c:pt>
                <c:pt idx="47">
                  <c:v>25.524000000000001</c:v>
                </c:pt>
                <c:pt idx="48">
                  <c:v>13.680999999999999</c:v>
                </c:pt>
                <c:pt idx="49">
                  <c:v>21.605</c:v>
                </c:pt>
                <c:pt idx="50">
                  <c:v>25.068000000000001</c:v>
                </c:pt>
                <c:pt idx="51">
                  <c:v>25.751000000000001</c:v>
                </c:pt>
                <c:pt idx="52">
                  <c:v>21.507999999999999</c:v>
                </c:pt>
                <c:pt idx="53">
                  <c:v>12.384</c:v>
                </c:pt>
                <c:pt idx="54">
                  <c:v>10.554</c:v>
                </c:pt>
                <c:pt idx="55">
                  <c:v>16.024999999999999</c:v>
                </c:pt>
                <c:pt idx="56">
                  <c:v>32.247999999999998</c:v>
                </c:pt>
                <c:pt idx="57">
                  <c:v>39.005000000000003</c:v>
                </c:pt>
                <c:pt idx="58">
                  <c:v>40.325000000000003</c:v>
                </c:pt>
                <c:pt idx="59">
                  <c:v>47.33</c:v>
                </c:pt>
                <c:pt idx="60">
                  <c:v>36.487000000000002</c:v>
                </c:pt>
                <c:pt idx="61">
                  <c:v>40.173999999999999</c:v>
                </c:pt>
                <c:pt idx="62">
                  <c:v>35.74</c:v>
                </c:pt>
                <c:pt idx="63">
                  <c:v>38.557000000000002</c:v>
                </c:pt>
                <c:pt idx="64">
                  <c:v>40.383000000000003</c:v>
                </c:pt>
                <c:pt idx="65">
                  <c:v>39.761000000000003</c:v>
                </c:pt>
                <c:pt idx="66">
                  <c:v>46.281999999999996</c:v>
                </c:pt>
                <c:pt idx="67">
                  <c:v>30.18</c:v>
                </c:pt>
                <c:pt idx="68">
                  <c:v>40.692</c:v>
                </c:pt>
                <c:pt idx="69">
                  <c:v>48.569000000000003</c:v>
                </c:pt>
                <c:pt idx="70">
                  <c:v>42.389000000000003</c:v>
                </c:pt>
                <c:pt idx="71">
                  <c:v>52.795999999999999</c:v>
                </c:pt>
                <c:pt idx="72">
                  <c:v>41.856999999999999</c:v>
                </c:pt>
                <c:pt idx="73">
                  <c:v>37.301000000000002</c:v>
                </c:pt>
                <c:pt idx="74">
                  <c:v>45.226999999999997</c:v>
                </c:pt>
                <c:pt idx="75">
                  <c:v>38.639000000000003</c:v>
                </c:pt>
                <c:pt idx="76">
                  <c:v>46.420999999999999</c:v>
                </c:pt>
                <c:pt idx="77">
                  <c:v>53.207999999999998</c:v>
                </c:pt>
                <c:pt idx="78">
                  <c:v>46.683999999999997</c:v>
                </c:pt>
                <c:pt idx="79">
                  <c:v>43.953000000000003</c:v>
                </c:pt>
                <c:pt idx="80">
                  <c:v>48.113</c:v>
                </c:pt>
                <c:pt idx="81">
                  <c:v>25.23</c:v>
                </c:pt>
                <c:pt idx="82">
                  <c:v>49.054000000000002</c:v>
                </c:pt>
                <c:pt idx="83">
                  <c:v>57.808</c:v>
                </c:pt>
                <c:pt idx="84">
                  <c:v>56.07</c:v>
                </c:pt>
                <c:pt idx="85">
                  <c:v>48.552</c:v>
                </c:pt>
                <c:pt idx="86">
                  <c:v>52.503999999999998</c:v>
                </c:pt>
                <c:pt idx="87">
                  <c:v>50.622</c:v>
                </c:pt>
                <c:pt idx="88">
                  <c:v>63.140999999999998</c:v>
                </c:pt>
                <c:pt idx="89">
                  <c:v>55.237000000000002</c:v>
                </c:pt>
                <c:pt idx="90">
                  <c:v>71.647999999999996</c:v>
                </c:pt>
                <c:pt idx="91">
                  <c:v>70.513999999999996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3-4B10-B84D-A678C004E716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Other biofuels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'Figure 2'!$A$2:$A$93</c:f>
              <c:numCache>
                <c:formatCode>mmm\-yy</c:formatCode>
                <c:ptCount val="9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</c:numCache>
            </c:numRef>
          </c:cat>
          <c:val>
            <c:numRef>
              <c:f>'Figure 2'!$D$2:$D$93</c:f>
              <c:numCache>
                <c:formatCode>0</c:formatCode>
                <c:ptCount val="92"/>
                <c:pt idx="0">
                  <c:v>0.92800000000000005</c:v>
                </c:pt>
                <c:pt idx="1">
                  <c:v>0.89</c:v>
                </c:pt>
                <c:pt idx="2">
                  <c:v>1.0069999999999999</c:v>
                </c:pt>
                <c:pt idx="3">
                  <c:v>0.89200000000000002</c:v>
                </c:pt>
                <c:pt idx="4">
                  <c:v>0.93700000000000006</c:v>
                </c:pt>
                <c:pt idx="5">
                  <c:v>0.92900000000000005</c:v>
                </c:pt>
                <c:pt idx="6">
                  <c:v>1.0649999999999999</c:v>
                </c:pt>
                <c:pt idx="7">
                  <c:v>0.11700000000000001</c:v>
                </c:pt>
                <c:pt idx="8">
                  <c:v>0.70099999999999996</c:v>
                </c:pt>
                <c:pt idx="9">
                  <c:v>1.6</c:v>
                </c:pt>
                <c:pt idx="10">
                  <c:v>1.3660000000000001</c:v>
                </c:pt>
                <c:pt idx="11">
                  <c:v>1.768</c:v>
                </c:pt>
                <c:pt idx="12">
                  <c:v>1.7709999999999999</c:v>
                </c:pt>
                <c:pt idx="13">
                  <c:v>1.349</c:v>
                </c:pt>
                <c:pt idx="14">
                  <c:v>1.1379999999999999</c:v>
                </c:pt>
                <c:pt idx="15">
                  <c:v>1.2470000000000001</c:v>
                </c:pt>
                <c:pt idx="16">
                  <c:v>1.508</c:v>
                </c:pt>
                <c:pt idx="17">
                  <c:v>1.145</c:v>
                </c:pt>
                <c:pt idx="18">
                  <c:v>1.571</c:v>
                </c:pt>
                <c:pt idx="19">
                  <c:v>1.5429999999999999</c:v>
                </c:pt>
                <c:pt idx="20">
                  <c:v>1.415</c:v>
                </c:pt>
                <c:pt idx="21">
                  <c:v>1.331</c:v>
                </c:pt>
                <c:pt idx="22">
                  <c:v>1.244</c:v>
                </c:pt>
                <c:pt idx="23">
                  <c:v>1.26</c:v>
                </c:pt>
                <c:pt idx="24">
                  <c:v>1.26</c:v>
                </c:pt>
                <c:pt idx="25">
                  <c:v>0.76200000000000001</c:v>
                </c:pt>
                <c:pt idx="26">
                  <c:v>1.5149999999999999</c:v>
                </c:pt>
                <c:pt idx="27">
                  <c:v>1.1659999999999999</c:v>
                </c:pt>
                <c:pt idx="28">
                  <c:v>1.8280000000000001</c:v>
                </c:pt>
                <c:pt idx="29">
                  <c:v>1.766</c:v>
                </c:pt>
                <c:pt idx="30">
                  <c:v>1.643</c:v>
                </c:pt>
                <c:pt idx="31">
                  <c:v>2.121</c:v>
                </c:pt>
                <c:pt idx="32">
                  <c:v>1.901</c:v>
                </c:pt>
                <c:pt idx="33">
                  <c:v>1.9119999999999999</c:v>
                </c:pt>
                <c:pt idx="34">
                  <c:v>2.1389999999999998</c:v>
                </c:pt>
                <c:pt idx="35">
                  <c:v>3.133</c:v>
                </c:pt>
                <c:pt idx="36">
                  <c:v>2.1150000000000002</c:v>
                </c:pt>
                <c:pt idx="37">
                  <c:v>1.958</c:v>
                </c:pt>
                <c:pt idx="38">
                  <c:v>1.238</c:v>
                </c:pt>
                <c:pt idx="39">
                  <c:v>3.125</c:v>
                </c:pt>
                <c:pt idx="40">
                  <c:v>1.4910000000000001</c:v>
                </c:pt>
                <c:pt idx="41">
                  <c:v>1.5549999999999999</c:v>
                </c:pt>
                <c:pt idx="42">
                  <c:v>1.595</c:v>
                </c:pt>
                <c:pt idx="43">
                  <c:v>2.0139999999999998</c:v>
                </c:pt>
                <c:pt idx="44">
                  <c:v>2.0630000000000002</c:v>
                </c:pt>
                <c:pt idx="45">
                  <c:v>2.0289999999999999</c:v>
                </c:pt>
                <c:pt idx="46">
                  <c:v>2.0630000000000002</c:v>
                </c:pt>
                <c:pt idx="47">
                  <c:v>2.7080000000000002</c:v>
                </c:pt>
                <c:pt idx="48">
                  <c:v>2.1579999999999999</c:v>
                </c:pt>
                <c:pt idx="49">
                  <c:v>2.4329999999999998</c:v>
                </c:pt>
                <c:pt idx="50">
                  <c:v>2.7309999999999999</c:v>
                </c:pt>
                <c:pt idx="51">
                  <c:v>2.16</c:v>
                </c:pt>
                <c:pt idx="52">
                  <c:v>2.0289999999999999</c:v>
                </c:pt>
                <c:pt idx="53">
                  <c:v>0.47499999999999998</c:v>
                </c:pt>
                <c:pt idx="54">
                  <c:v>0.14399999999999999</c:v>
                </c:pt>
                <c:pt idx="55">
                  <c:v>1.8520000000000001</c:v>
                </c:pt>
                <c:pt idx="56">
                  <c:v>2.9820000000000002</c:v>
                </c:pt>
                <c:pt idx="57">
                  <c:v>2.544</c:v>
                </c:pt>
                <c:pt idx="58">
                  <c:v>2.72</c:v>
                </c:pt>
                <c:pt idx="59">
                  <c:v>3.4329999999999998</c:v>
                </c:pt>
                <c:pt idx="60">
                  <c:v>2.4940000000000002</c:v>
                </c:pt>
                <c:pt idx="61">
                  <c:v>2.7759999999999998</c:v>
                </c:pt>
                <c:pt idx="62">
                  <c:v>3.3780000000000001</c:v>
                </c:pt>
                <c:pt idx="63">
                  <c:v>2.7810000000000001</c:v>
                </c:pt>
                <c:pt idx="64">
                  <c:v>3.3889999999999998</c:v>
                </c:pt>
                <c:pt idx="65">
                  <c:v>2.0230000000000001</c:v>
                </c:pt>
                <c:pt idx="66">
                  <c:v>2.4430000000000001</c:v>
                </c:pt>
                <c:pt idx="67">
                  <c:v>1.4430000000000001</c:v>
                </c:pt>
                <c:pt idx="68">
                  <c:v>2.915</c:v>
                </c:pt>
                <c:pt idx="69">
                  <c:v>2.3490000000000002</c:v>
                </c:pt>
                <c:pt idx="70">
                  <c:v>2.8690000000000002</c:v>
                </c:pt>
                <c:pt idx="71">
                  <c:v>4.367</c:v>
                </c:pt>
                <c:pt idx="72">
                  <c:v>2.3279999999999998</c:v>
                </c:pt>
                <c:pt idx="73">
                  <c:v>2.3069999999999999</c:v>
                </c:pt>
                <c:pt idx="74">
                  <c:v>3.1549999999999998</c:v>
                </c:pt>
                <c:pt idx="75">
                  <c:v>3.21</c:v>
                </c:pt>
                <c:pt idx="76">
                  <c:v>2.3650000000000002</c:v>
                </c:pt>
                <c:pt idx="77">
                  <c:v>2.532</c:v>
                </c:pt>
                <c:pt idx="78">
                  <c:v>4.1269999999999998</c:v>
                </c:pt>
                <c:pt idx="79">
                  <c:v>2.4769999999999999</c:v>
                </c:pt>
                <c:pt idx="80">
                  <c:v>3.0649999999999999</c:v>
                </c:pt>
                <c:pt idx="81">
                  <c:v>1.2090000000000001</c:v>
                </c:pt>
                <c:pt idx="82">
                  <c:v>2.6030000000000002</c:v>
                </c:pt>
                <c:pt idx="83">
                  <c:v>2.5910000000000002</c:v>
                </c:pt>
                <c:pt idx="84">
                  <c:v>7.6020000000000003</c:v>
                </c:pt>
                <c:pt idx="85">
                  <c:v>7.2240000000000002</c:v>
                </c:pt>
                <c:pt idx="86">
                  <c:v>6.9219999999999997</c:v>
                </c:pt>
                <c:pt idx="87">
                  <c:v>5.8769999999999998</c:v>
                </c:pt>
                <c:pt idx="88">
                  <c:v>5.3129999999999997</c:v>
                </c:pt>
                <c:pt idx="89">
                  <c:v>3.8250000000000002</c:v>
                </c:pt>
                <c:pt idx="90">
                  <c:v>5.2450000000000001</c:v>
                </c:pt>
                <c:pt idx="91">
                  <c:v>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3-4B10-B84D-A678C004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40510805235443"/>
              <c:y val="0.8676212396527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  <c:majorUnit val="4"/>
        <c:majorTimeUnit val="months"/>
      </c:dateAx>
      <c:valAx>
        <c:axId val="667170632"/>
        <c:scaling>
          <c:orientation val="minMax"/>
          <c:max val="225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6.07867353507161E-3"/>
              <c:y val="9.302483343428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47927060648196"/>
          <c:y val="0.11425641025641026"/>
          <c:w val="0.54904145878703603"/>
          <c:h val="5.452829934719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/>
            </a:pPr>
            <a:endParaRPr lang="en-US" sz="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/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Biodiesel and Renewable Diesel</a:t>
            </a:r>
            <a:r>
              <a:rPr lang="en-US" sz="1050" b="1" baseline="0">
                <a:latin typeface="Arial" panose="020B0604020202020204" pitchFamily="34" charset="0"/>
                <a:cs typeface="Arial" panose="020B0604020202020204" pitchFamily="34" charset="0"/>
              </a:rPr>
              <a:t> Fuel Share of Total Biomass-based Diesel Production</a:t>
            </a:r>
            <a:endParaRPr lang="en-US" sz="105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818038517357136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60110426110306E-2"/>
          <c:y val="0.20372388664831531"/>
          <c:w val="0.87385084027579496"/>
          <c:h val="0.55014457034334119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3'!$A$2:$A$93</c:f>
              <c:numCache>
                <c:formatCode>mmm\-yy</c:formatCode>
                <c:ptCount val="9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</c:numCache>
            </c:numRef>
          </c:cat>
          <c:val>
            <c:numRef>
              <c:f>'Figure 3'!$B$2:$B$93</c:f>
              <c:numCache>
                <c:formatCode>0</c:formatCode>
                <c:ptCount val="92"/>
                <c:pt idx="0">
                  <c:v>86.566344857214474</c:v>
                </c:pt>
                <c:pt idx="1">
                  <c:v>85.158624726994347</c:v>
                </c:pt>
                <c:pt idx="2">
                  <c:v>86.138373082735498</c:v>
                </c:pt>
                <c:pt idx="3">
                  <c:v>86.501111934766499</c:v>
                </c:pt>
                <c:pt idx="4">
                  <c:v>86.105126751437595</c:v>
                </c:pt>
                <c:pt idx="5">
                  <c:v>87.001817270334641</c:v>
                </c:pt>
                <c:pt idx="6">
                  <c:v>89.080826386371882</c:v>
                </c:pt>
                <c:pt idx="7">
                  <c:v>98.307170231275023</c:v>
                </c:pt>
                <c:pt idx="8">
                  <c:v>94.563751256877069</c:v>
                </c:pt>
                <c:pt idx="9">
                  <c:v>88.283683870504632</c:v>
                </c:pt>
                <c:pt idx="10">
                  <c:v>86.012960115479956</c:v>
                </c:pt>
                <c:pt idx="11">
                  <c:v>83.474300148468615</c:v>
                </c:pt>
                <c:pt idx="12">
                  <c:v>79.007209601184897</c:v>
                </c:pt>
                <c:pt idx="13">
                  <c:v>83.978998768446303</c:v>
                </c:pt>
                <c:pt idx="14">
                  <c:v>84.991428894631966</c:v>
                </c:pt>
                <c:pt idx="15">
                  <c:v>86.397500600817111</c:v>
                </c:pt>
                <c:pt idx="16">
                  <c:v>87.145742199435134</c:v>
                </c:pt>
                <c:pt idx="17">
                  <c:v>88.670854289644723</c:v>
                </c:pt>
                <c:pt idx="18">
                  <c:v>87.629552428927113</c:v>
                </c:pt>
                <c:pt idx="19">
                  <c:v>88.096753660089107</c:v>
                </c:pt>
                <c:pt idx="20">
                  <c:v>87.216451666945886</c:v>
                </c:pt>
                <c:pt idx="21">
                  <c:v>87.83536283536283</c:v>
                </c:pt>
                <c:pt idx="22">
                  <c:v>88.3956821919638</c:v>
                </c:pt>
                <c:pt idx="23">
                  <c:v>88.110536701511762</c:v>
                </c:pt>
                <c:pt idx="24">
                  <c:v>88.929707297991385</c:v>
                </c:pt>
                <c:pt idx="25">
                  <c:v>92.833999876402601</c:v>
                </c:pt>
                <c:pt idx="26">
                  <c:v>86.074398813745091</c:v>
                </c:pt>
                <c:pt idx="27">
                  <c:v>84.253002739341142</c:v>
                </c:pt>
                <c:pt idx="28">
                  <c:v>85.065837025863416</c:v>
                </c:pt>
                <c:pt idx="29">
                  <c:v>84.690635714510407</c:v>
                </c:pt>
                <c:pt idx="30">
                  <c:v>86.859360447066123</c:v>
                </c:pt>
                <c:pt idx="31">
                  <c:v>84.079646122366896</c:v>
                </c:pt>
                <c:pt idx="32">
                  <c:v>86.445247555895051</c:v>
                </c:pt>
                <c:pt idx="33">
                  <c:v>86.475075564937882</c:v>
                </c:pt>
                <c:pt idx="34">
                  <c:v>82.913606561175072</c:v>
                </c:pt>
                <c:pt idx="35">
                  <c:v>82.606049121114495</c:v>
                </c:pt>
                <c:pt idx="36">
                  <c:v>81.772500066118326</c:v>
                </c:pt>
                <c:pt idx="37">
                  <c:v>80.338336866580036</c:v>
                </c:pt>
                <c:pt idx="38">
                  <c:v>87.153184837827297</c:v>
                </c:pt>
                <c:pt idx="39">
                  <c:v>84.35107649535415</c:v>
                </c:pt>
                <c:pt idx="40">
                  <c:v>84.028630487767259</c:v>
                </c:pt>
                <c:pt idx="41">
                  <c:v>87.918202815455572</c:v>
                </c:pt>
                <c:pt idx="42">
                  <c:v>87.557390489576008</c:v>
                </c:pt>
                <c:pt idx="43">
                  <c:v>84.852303430738147</c:v>
                </c:pt>
                <c:pt idx="44">
                  <c:v>85.973862236827529</c:v>
                </c:pt>
                <c:pt idx="45">
                  <c:v>84.356571428571428</c:v>
                </c:pt>
                <c:pt idx="46">
                  <c:v>85.428934303198261</c:v>
                </c:pt>
                <c:pt idx="47">
                  <c:v>83.94732502800349</c:v>
                </c:pt>
                <c:pt idx="48">
                  <c:v>88.795591522594151</c:v>
                </c:pt>
                <c:pt idx="49">
                  <c:v>84.183757393919066</c:v>
                </c:pt>
                <c:pt idx="50">
                  <c:v>84.287781332308427</c:v>
                </c:pt>
                <c:pt idx="51">
                  <c:v>83.623764932291294</c:v>
                </c:pt>
                <c:pt idx="52">
                  <c:v>86.538670509982893</c:v>
                </c:pt>
                <c:pt idx="53">
                  <c:v>92.511908505409792</c:v>
                </c:pt>
                <c:pt idx="54">
                  <c:v>93.956922312163542</c:v>
                </c:pt>
                <c:pt idx="55">
                  <c:v>90.598820974247602</c:v>
                </c:pt>
                <c:pt idx="56">
                  <c:v>82.351998236702642</c:v>
                </c:pt>
                <c:pt idx="57">
                  <c:v>80.447621422958008</c:v>
                </c:pt>
                <c:pt idx="58">
                  <c:v>78.828731346954029</c:v>
                </c:pt>
                <c:pt idx="59">
                  <c:v>76.772608305726891</c:v>
                </c:pt>
                <c:pt idx="60">
                  <c:v>78.68702774223884</c:v>
                </c:pt>
                <c:pt idx="61">
                  <c:v>75.241960121974401</c:v>
                </c:pt>
                <c:pt idx="62">
                  <c:v>78.260893727458139</c:v>
                </c:pt>
                <c:pt idx="63">
                  <c:v>78.6352571490591</c:v>
                </c:pt>
                <c:pt idx="64">
                  <c:v>77.933273510047286</c:v>
                </c:pt>
                <c:pt idx="65">
                  <c:v>77.20918308906549</c:v>
                </c:pt>
                <c:pt idx="66">
                  <c:v>76.499385053174819</c:v>
                </c:pt>
                <c:pt idx="67">
                  <c:v>83.136288735661594</c:v>
                </c:pt>
                <c:pt idx="68">
                  <c:v>76.486225620507625</c:v>
                </c:pt>
                <c:pt idx="69">
                  <c:v>73.919234551712847</c:v>
                </c:pt>
                <c:pt idx="70">
                  <c:v>73.791130517367179</c:v>
                </c:pt>
                <c:pt idx="71">
                  <c:v>69.916268886865637</c:v>
                </c:pt>
                <c:pt idx="72">
                  <c:v>75.235122016836868</c:v>
                </c:pt>
                <c:pt idx="73">
                  <c:v>76.896469256928214</c:v>
                </c:pt>
                <c:pt idx="74">
                  <c:v>75.727322440010639</c:v>
                </c:pt>
                <c:pt idx="75">
                  <c:v>77.449374387050185</c:v>
                </c:pt>
                <c:pt idx="76">
                  <c:v>75.760436437351558</c:v>
                </c:pt>
                <c:pt idx="77">
                  <c:v>73.012491527064967</c:v>
                </c:pt>
                <c:pt idx="78">
                  <c:v>76.086690512048193</c:v>
                </c:pt>
                <c:pt idx="79">
                  <c:v>77.788833662617975</c:v>
                </c:pt>
                <c:pt idx="80">
                  <c:v>75.668801315970896</c:v>
                </c:pt>
                <c:pt idx="81">
                  <c:v>85.60296664161794</c:v>
                </c:pt>
                <c:pt idx="82">
                  <c:v>74.643635506862225</c:v>
                </c:pt>
                <c:pt idx="83">
                  <c:v>72.341360882526686</c:v>
                </c:pt>
                <c:pt idx="84">
                  <c:v>67.264089829410494</c:v>
                </c:pt>
                <c:pt idx="85">
                  <c:v>64.434922335297273</c:v>
                </c:pt>
                <c:pt idx="86">
                  <c:v>70.438649726901005</c:v>
                </c:pt>
                <c:pt idx="87">
                  <c:v>70.466841255155316</c:v>
                </c:pt>
                <c:pt idx="88">
                  <c:v>68.456412950316576</c:v>
                </c:pt>
                <c:pt idx="89">
                  <c:v>69.739882468068103</c:v>
                </c:pt>
                <c:pt idx="90">
                  <c:v>64.568376816669584</c:v>
                </c:pt>
                <c:pt idx="91">
                  <c:v>64.652562381371226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E-41AB-9101-510547F2C1F6}"/>
            </c:ext>
          </c:extLst>
        </c:ser>
        <c:ser>
          <c:idx val="0"/>
          <c:order val="1"/>
          <c:tx>
            <c:strRef>
              <c:f>'Figure 3'!$C$1</c:f>
              <c:strCache>
                <c:ptCount val="1"/>
                <c:pt idx="0">
                  <c:v>Renewable diesel fuel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3'!$A$2:$A$93</c:f>
              <c:numCache>
                <c:formatCode>mmm\-yy</c:formatCode>
                <c:ptCount val="9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</c:numCache>
            </c:numRef>
          </c:cat>
          <c:val>
            <c:numRef>
              <c:f>'Figure 3'!$C$2:$C$93</c:f>
              <c:numCache>
                <c:formatCode>0</c:formatCode>
                <c:ptCount val="92"/>
                <c:pt idx="0">
                  <c:v>13.433655142785527</c:v>
                </c:pt>
                <c:pt idx="1">
                  <c:v>14.841375273005653</c:v>
                </c:pt>
                <c:pt idx="2">
                  <c:v>13.861626917264502</c:v>
                </c:pt>
                <c:pt idx="3">
                  <c:v>13.498888065233505</c:v>
                </c:pt>
                <c:pt idx="4">
                  <c:v>13.894873248562401</c:v>
                </c:pt>
                <c:pt idx="5">
                  <c:v>12.998182729665364</c:v>
                </c:pt>
                <c:pt idx="6">
                  <c:v>10.91917361362812</c:v>
                </c:pt>
                <c:pt idx="7">
                  <c:v>1.6928297687249794</c:v>
                </c:pt>
                <c:pt idx="8">
                  <c:v>5.4362487431229294</c:v>
                </c:pt>
                <c:pt idx="9">
                  <c:v>11.716316129495375</c:v>
                </c:pt>
                <c:pt idx="10">
                  <c:v>13.987039884520048</c:v>
                </c:pt>
                <c:pt idx="11">
                  <c:v>16.525699851531385</c:v>
                </c:pt>
                <c:pt idx="12">
                  <c:v>20.992790398815096</c:v>
                </c:pt>
                <c:pt idx="13">
                  <c:v>16.021001231553701</c:v>
                </c:pt>
                <c:pt idx="14">
                  <c:v>15.008571105368041</c:v>
                </c:pt>
                <c:pt idx="15">
                  <c:v>13.602499399182888</c:v>
                </c:pt>
                <c:pt idx="16">
                  <c:v>12.854257800564872</c:v>
                </c:pt>
                <c:pt idx="17">
                  <c:v>11.329145710355281</c:v>
                </c:pt>
                <c:pt idx="18">
                  <c:v>12.370447571072884</c:v>
                </c:pt>
                <c:pt idx="19">
                  <c:v>11.90324633991089</c:v>
                </c:pt>
                <c:pt idx="20">
                  <c:v>12.783548333054117</c:v>
                </c:pt>
                <c:pt idx="21">
                  <c:v>12.16463716463717</c:v>
                </c:pt>
                <c:pt idx="22">
                  <c:v>11.604317808036201</c:v>
                </c:pt>
                <c:pt idx="23">
                  <c:v>11.889463298488234</c:v>
                </c:pt>
                <c:pt idx="24">
                  <c:v>11.070292702008611</c:v>
                </c:pt>
                <c:pt idx="25">
                  <c:v>7.166000123597394</c:v>
                </c:pt>
                <c:pt idx="26">
                  <c:v>13.925601186254911</c:v>
                </c:pt>
                <c:pt idx="27">
                  <c:v>15.746997260658857</c:v>
                </c:pt>
                <c:pt idx="28">
                  <c:v>14.934162974136578</c:v>
                </c:pt>
                <c:pt idx="29">
                  <c:v>15.30936428548959</c:v>
                </c:pt>
                <c:pt idx="30">
                  <c:v>13.140639552933875</c:v>
                </c:pt>
                <c:pt idx="31">
                  <c:v>15.920353877633097</c:v>
                </c:pt>
                <c:pt idx="32">
                  <c:v>13.554752444104945</c:v>
                </c:pt>
                <c:pt idx="33">
                  <c:v>13.524924435062125</c:v>
                </c:pt>
                <c:pt idx="34">
                  <c:v>17.086393438824921</c:v>
                </c:pt>
                <c:pt idx="35">
                  <c:v>17.393950878885512</c:v>
                </c:pt>
                <c:pt idx="36">
                  <c:v>18.227499933881674</c:v>
                </c:pt>
                <c:pt idx="37">
                  <c:v>19.66166313341996</c:v>
                </c:pt>
                <c:pt idx="38">
                  <c:v>12.846815162172708</c:v>
                </c:pt>
                <c:pt idx="39">
                  <c:v>15.64892350464585</c:v>
                </c:pt>
                <c:pt idx="40">
                  <c:v>15.971369512232748</c:v>
                </c:pt>
                <c:pt idx="41">
                  <c:v>12.081797184544429</c:v>
                </c:pt>
                <c:pt idx="42">
                  <c:v>12.442609510423996</c:v>
                </c:pt>
                <c:pt idx="43">
                  <c:v>15.147696569261859</c:v>
                </c:pt>
                <c:pt idx="44">
                  <c:v>14.026137763172475</c:v>
                </c:pt>
                <c:pt idx="45">
                  <c:v>15.643428571428576</c:v>
                </c:pt>
                <c:pt idx="46">
                  <c:v>14.571065696801744</c:v>
                </c:pt>
                <c:pt idx="47">
                  <c:v>16.052674971996517</c:v>
                </c:pt>
                <c:pt idx="48">
                  <c:v>11.204408477405847</c:v>
                </c:pt>
                <c:pt idx="49">
                  <c:v>15.816242606080932</c:v>
                </c:pt>
                <c:pt idx="50">
                  <c:v>15.71221866769158</c:v>
                </c:pt>
                <c:pt idx="51">
                  <c:v>16.376235067708699</c:v>
                </c:pt>
                <c:pt idx="52">
                  <c:v>13.461329490017103</c:v>
                </c:pt>
                <c:pt idx="53">
                  <c:v>7.4880914945902095</c:v>
                </c:pt>
                <c:pt idx="54">
                  <c:v>6.0430776878364618</c:v>
                </c:pt>
                <c:pt idx="55">
                  <c:v>9.4011790257524037</c:v>
                </c:pt>
                <c:pt idx="56">
                  <c:v>17.648001763297362</c:v>
                </c:pt>
                <c:pt idx="57">
                  <c:v>19.552378577041996</c:v>
                </c:pt>
                <c:pt idx="58">
                  <c:v>21.171268653045971</c:v>
                </c:pt>
                <c:pt idx="59">
                  <c:v>23.227391694273113</c:v>
                </c:pt>
                <c:pt idx="60">
                  <c:v>21.312972257761153</c:v>
                </c:pt>
                <c:pt idx="61">
                  <c:v>24.758039878025595</c:v>
                </c:pt>
                <c:pt idx="62">
                  <c:v>21.739106272541864</c:v>
                </c:pt>
                <c:pt idx="63">
                  <c:v>21.3647428509409</c:v>
                </c:pt>
                <c:pt idx="64">
                  <c:v>22.066726489952714</c:v>
                </c:pt>
                <c:pt idx="65">
                  <c:v>22.79081691093451</c:v>
                </c:pt>
                <c:pt idx="66">
                  <c:v>23.500614946825181</c:v>
                </c:pt>
                <c:pt idx="67">
                  <c:v>16.863711264338399</c:v>
                </c:pt>
                <c:pt idx="68">
                  <c:v>23.513774379492382</c:v>
                </c:pt>
                <c:pt idx="69">
                  <c:v>26.080765448287156</c:v>
                </c:pt>
                <c:pt idx="70">
                  <c:v>26.208869482632824</c:v>
                </c:pt>
                <c:pt idx="71">
                  <c:v>30.083731113134359</c:v>
                </c:pt>
                <c:pt idx="72">
                  <c:v>24.764877983163135</c:v>
                </c:pt>
                <c:pt idx="73">
                  <c:v>23.103530743071786</c:v>
                </c:pt>
                <c:pt idx="74">
                  <c:v>24.272677559989365</c:v>
                </c:pt>
                <c:pt idx="75">
                  <c:v>22.550625612949815</c:v>
                </c:pt>
                <c:pt idx="76">
                  <c:v>24.239563562648435</c:v>
                </c:pt>
                <c:pt idx="77">
                  <c:v>26.98750847293503</c:v>
                </c:pt>
                <c:pt idx="78">
                  <c:v>23.913309487951807</c:v>
                </c:pt>
                <c:pt idx="79">
                  <c:v>22.211166337382025</c:v>
                </c:pt>
                <c:pt idx="80">
                  <c:v>24.331198684029111</c:v>
                </c:pt>
                <c:pt idx="81">
                  <c:v>14.39703335838206</c:v>
                </c:pt>
                <c:pt idx="82">
                  <c:v>25.356364493137772</c:v>
                </c:pt>
                <c:pt idx="83">
                  <c:v>27.658639117473317</c:v>
                </c:pt>
                <c:pt idx="84">
                  <c:v>32.735910170589499</c:v>
                </c:pt>
                <c:pt idx="85">
                  <c:v>35.565077664702727</c:v>
                </c:pt>
                <c:pt idx="86">
                  <c:v>29.561350273098995</c:v>
                </c:pt>
                <c:pt idx="87">
                  <c:v>29.533158744844677</c:v>
                </c:pt>
                <c:pt idx="88">
                  <c:v>31.543587049683421</c:v>
                </c:pt>
                <c:pt idx="89">
                  <c:v>30.260117531931897</c:v>
                </c:pt>
                <c:pt idx="90">
                  <c:v>35.431623183330416</c:v>
                </c:pt>
                <c:pt idx="91">
                  <c:v>35.347437618628774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E-41AB-9101-510547F2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40510805235443"/>
              <c:y val="0.88175116041529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  <c:majorUnit val="4"/>
        <c:majorTimeUnit val="months"/>
      </c:dateAx>
      <c:valAx>
        <c:axId val="6671706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8.2242984552304103E-3"/>
              <c:y val="0.13706282141561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28644833574908"/>
          <c:y val="0.13796918677848197"/>
          <c:w val="0.43274921480209971"/>
          <c:h val="5.22507045341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solidFill>
                  <a:schemeClr val="tx1"/>
                </a:solidFill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baseline="0"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Australia Rapeseed Production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7196668559530567E-3"/>
          <c:y val="2.3916434493416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08143260555171E-2"/>
          <c:y val="0.21425029825817227"/>
          <c:w val="0.82335675105536965"/>
          <c:h val="0.5805860176568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4'!$B$2:$B$13</c:f>
              <c:numCache>
                <c:formatCode>_(* #,##0_);_(* \(#,##0\);_(* "-"??_);_(@_)</c:formatCode>
                <c:ptCount val="12"/>
                <c:pt idx="0">
                  <c:v>2078</c:v>
                </c:pt>
                <c:pt idx="1">
                  <c:v>2461</c:v>
                </c:pt>
                <c:pt idx="2">
                  <c:v>3272</c:v>
                </c:pt>
                <c:pt idx="3">
                  <c:v>2721</c:v>
                </c:pt>
                <c:pt idx="4">
                  <c:v>2897</c:v>
                </c:pt>
                <c:pt idx="5">
                  <c:v>2091</c:v>
                </c:pt>
                <c:pt idx="6">
                  <c:v>2681</c:v>
                </c:pt>
                <c:pt idx="7">
                  <c:v>3171</c:v>
                </c:pt>
                <c:pt idx="8">
                  <c:v>2120</c:v>
                </c:pt>
                <c:pt idx="9">
                  <c:v>2034</c:v>
                </c:pt>
                <c:pt idx="10">
                  <c:v>2450</c:v>
                </c:pt>
                <c:pt idx="1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A-4C29-A78B-2CD73E039F5D}"/>
            </c:ext>
          </c:extLst>
        </c:ser>
        <c:ser>
          <c:idx val="1"/>
          <c:order val="1"/>
          <c:tx>
            <c:strRef>
              <c:f>'Figure 4'!$D$1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4'!$D$2:$D$13</c:f>
              <c:numCache>
                <c:formatCode>_(* #,##0_);_(* \(#,##0\);_(* "-"_);_(@_)</c:formatCode>
                <c:ptCount val="12"/>
                <c:pt idx="0" formatCode="_(* #,##0_);_(* \(#,##0\);_(* &quot;-&quot;??_);_(@_)">
                  <c:v>2359</c:v>
                </c:pt>
                <c:pt idx="1">
                  <c:v>3427</c:v>
                </c:pt>
                <c:pt idx="2">
                  <c:v>4142</c:v>
                </c:pt>
                <c:pt idx="3">
                  <c:v>3832</c:v>
                </c:pt>
                <c:pt idx="4">
                  <c:v>3540</c:v>
                </c:pt>
                <c:pt idx="5">
                  <c:v>2775</c:v>
                </c:pt>
                <c:pt idx="6">
                  <c:v>4313</c:v>
                </c:pt>
                <c:pt idx="7">
                  <c:v>3893</c:v>
                </c:pt>
                <c:pt idx="8">
                  <c:v>2366</c:v>
                </c:pt>
                <c:pt idx="9">
                  <c:v>2299</c:v>
                </c:pt>
                <c:pt idx="10">
                  <c:v>4500</c:v>
                </c:pt>
                <c:pt idx="11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A-4C29-A78B-2CD73E03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4'!$C$1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4'!$C$2:$C$13</c:f>
              <c:numCache>
                <c:formatCode>#,##0.0_);\(#,##0.0\)</c:formatCode>
                <c:ptCount val="12"/>
                <c:pt idx="0">
                  <c:v>1.1352261790182867</c:v>
                </c:pt>
                <c:pt idx="1">
                  <c:v>1.3925233644859814</c:v>
                </c:pt>
                <c:pt idx="2">
                  <c:v>1.2658924205378974</c:v>
                </c:pt>
                <c:pt idx="3">
                  <c:v>1.408305769937523</c:v>
                </c:pt>
                <c:pt idx="4">
                  <c:v>1.2219537452537108</c:v>
                </c:pt>
                <c:pt idx="5">
                  <c:v>1.327116212338594</c:v>
                </c:pt>
                <c:pt idx="6">
                  <c:v>1.608728086534875</c:v>
                </c:pt>
                <c:pt idx="7">
                  <c:v>1.2276884263639229</c:v>
                </c:pt>
                <c:pt idx="8">
                  <c:v>1.1160377358490565</c:v>
                </c:pt>
                <c:pt idx="9">
                  <c:v>1.1302851524090463</c:v>
                </c:pt>
                <c:pt idx="10">
                  <c:v>1.8367346938775511</c:v>
                </c:pt>
                <c:pt idx="11">
                  <c:v>1.8333333333333333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EA-4C29-A78B-2CD73E03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26671"/>
        <c:axId val="548629999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Marketing year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42835103460904594"/>
              <c:y val="0.88041445980815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 </a:t>
                </a:r>
              </a:p>
            </c:rich>
          </c:tx>
          <c:layout>
            <c:manualLayout>
              <c:xMode val="edge"/>
              <c:yMode val="edge"/>
              <c:x val="6.8371138445854403E-3"/>
              <c:y val="0.1264908774884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548629999"/>
        <c:scaling>
          <c:orientation val="minMax"/>
        </c:scaling>
        <c:delete val="0"/>
        <c:axPos val="r"/>
        <c:numFmt formatCode="#,##0.0_);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626671"/>
        <c:crosses val="max"/>
        <c:crossBetween val="between"/>
      </c:valAx>
      <c:catAx>
        <c:axId val="548626671"/>
        <c:scaling>
          <c:orientation val="minMax"/>
        </c:scaling>
        <c:delete val="1"/>
        <c:axPos val="b"/>
        <c:majorTickMark val="out"/>
        <c:minorTickMark val="none"/>
        <c:tickLblPos val="nextTo"/>
        <c:crossAx val="548629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395541580792336"/>
          <c:y val="0.14871224051539012"/>
          <c:w val="0.33931833685987489"/>
          <c:h val="4.9135944420995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Sunflowerseed Production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4632443245063851E-3"/>
          <c:y val="9.82169020168089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493368493257597E-2"/>
          <c:y val="0.19195858391716783"/>
          <c:w val="0.84034371290443155"/>
          <c:h val="0.598212541912986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5'!$B$1</c:f>
              <c:strCache>
                <c:ptCount val="1"/>
                <c:pt idx="0">
                  <c:v>Russia and Ukraine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5'!$A$2:$A$13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5'!$B$2:$B$13</c:f>
              <c:numCache>
                <c:formatCode>_(* #,##0_);_(* \(#,##0\);_(* "-"_);_(@_)</c:formatCode>
                <c:ptCount val="12"/>
                <c:pt idx="0">
                  <c:v>13079</c:v>
                </c:pt>
                <c:pt idx="1">
                  <c:v>18862</c:v>
                </c:pt>
                <c:pt idx="2">
                  <c:v>16495</c:v>
                </c:pt>
                <c:pt idx="3">
                  <c:v>21442</c:v>
                </c:pt>
                <c:pt idx="4">
                  <c:v>18574</c:v>
                </c:pt>
                <c:pt idx="5">
                  <c:v>21073</c:v>
                </c:pt>
                <c:pt idx="6">
                  <c:v>26058</c:v>
                </c:pt>
                <c:pt idx="7">
                  <c:v>24062</c:v>
                </c:pt>
                <c:pt idx="8">
                  <c:v>27710</c:v>
                </c:pt>
                <c:pt idx="9">
                  <c:v>31805</c:v>
                </c:pt>
                <c:pt idx="10">
                  <c:v>27369</c:v>
                </c:pt>
                <c:pt idx="11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C-4D14-A801-8E36B299E206}"/>
            </c:ext>
          </c:extLst>
        </c:ser>
        <c:ser>
          <c:idx val="1"/>
          <c:order val="1"/>
          <c:tx>
            <c:strRef>
              <c:f>'Figure 5'!$C$1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5'!$C$2:$C$13</c:f>
              <c:numCache>
                <c:formatCode>_(* #,##0_);_(* \(#,##0\);_(* "-"_);_(@_)</c:formatCode>
                <c:ptCount val="12"/>
                <c:pt idx="0">
                  <c:v>19704</c:v>
                </c:pt>
                <c:pt idx="1">
                  <c:v>19871</c:v>
                </c:pt>
                <c:pt idx="2">
                  <c:v>18477</c:v>
                </c:pt>
                <c:pt idx="3">
                  <c:v>20126</c:v>
                </c:pt>
                <c:pt idx="4">
                  <c:v>20710</c:v>
                </c:pt>
                <c:pt idx="5">
                  <c:v>19677</c:v>
                </c:pt>
                <c:pt idx="6">
                  <c:v>22335</c:v>
                </c:pt>
                <c:pt idx="7">
                  <c:v>23948</c:v>
                </c:pt>
                <c:pt idx="8">
                  <c:v>22949</c:v>
                </c:pt>
                <c:pt idx="9">
                  <c:v>22132</c:v>
                </c:pt>
                <c:pt idx="10">
                  <c:v>21738</c:v>
                </c:pt>
                <c:pt idx="11">
                  <c:v>24041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C-4D14-A801-8E36B299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2"/>
          <c:tx>
            <c:v>Yield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5'!$D$2:$D$13</c:f>
              <c:numCache>
                <c:formatCode>_(* #,##0.0_);_(* \(#,##0.0\);_(* "-"_);_(@_)</c:formatCode>
                <c:ptCount val="12"/>
                <c:pt idx="0">
                  <c:v>1.4191160555820095</c:v>
                </c:pt>
                <c:pt idx="1">
                  <c:v>1.5715097172069623</c:v>
                </c:pt>
                <c:pt idx="2">
                  <c:v>1.4818016185754841</c:v>
                </c:pt>
                <c:pt idx="3">
                  <c:v>1.7304137873615852</c:v>
                </c:pt>
                <c:pt idx="4">
                  <c:v>1.6995024875621891</c:v>
                </c:pt>
                <c:pt idx="5">
                  <c:v>1.7339687672864985</c:v>
                </c:pt>
                <c:pt idx="6">
                  <c:v>1.8623436598037328</c:v>
                </c:pt>
                <c:pt idx="7">
                  <c:v>1.847177869262437</c:v>
                </c:pt>
                <c:pt idx="8">
                  <c:v>1.9627663696241766</c:v>
                </c:pt>
                <c:pt idx="9">
                  <c:v>2.0724275724275723</c:v>
                </c:pt>
                <c:pt idx="10">
                  <c:v>1.8209359240581431</c:v>
                </c:pt>
                <c:pt idx="11">
                  <c:v>2.0055200056254834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C-4D14-A801-8E36B299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055039"/>
        <c:axId val="1660048383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111599899777778"/>
              <c:y val="0.88031676896687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1.7455976322830399E-3"/>
              <c:y val="0.11184712886498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660048383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0055039"/>
        <c:crosses val="max"/>
        <c:crossBetween val="between"/>
      </c:valAx>
      <c:catAx>
        <c:axId val="1660055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660048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81931659950957"/>
          <c:y val="0.17195215432189223"/>
          <c:w val="0.62361350371109714"/>
          <c:h val="7.5673885681202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Sunflowerseed Oil Production and Use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0001751866833095E-2"/>
          <c:y val="1.6577265273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3252872592356"/>
          <c:y val="0.23246513584709017"/>
          <c:w val="0.79157289486609173"/>
          <c:h val="0.56237109705549093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'Figure 6'!$C$1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rgbClr val="70AD47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'Figure 6'!$A$2:$A$13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6'!$C$2:$C$13</c:f>
              <c:numCache>
                <c:formatCode>_(* #,##0_);_(* \(#,##0\);_(* "-"_);_(@_)</c:formatCode>
                <c:ptCount val="12"/>
                <c:pt idx="0">
                  <c:v>4538</c:v>
                </c:pt>
                <c:pt idx="1">
                  <c:v>6478</c:v>
                </c:pt>
                <c:pt idx="2">
                  <c:v>5545</c:v>
                </c:pt>
                <c:pt idx="3">
                  <c:v>7777</c:v>
                </c:pt>
                <c:pt idx="4">
                  <c:v>7444</c:v>
                </c:pt>
                <c:pt idx="5">
                  <c:v>8176</c:v>
                </c:pt>
                <c:pt idx="6">
                  <c:v>10755</c:v>
                </c:pt>
                <c:pt idx="7">
                  <c:v>10327</c:v>
                </c:pt>
                <c:pt idx="8">
                  <c:v>11503</c:v>
                </c:pt>
                <c:pt idx="9" formatCode="_(* #,##0_);_(* \(#,##0\);_(* &quot;-&quot;??_);_(@_)">
                  <c:v>13132</c:v>
                </c:pt>
                <c:pt idx="10">
                  <c:v>10527</c:v>
                </c:pt>
                <c:pt idx="11">
                  <c:v>13349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9CA-B697-102DC89D597E}"/>
            </c:ext>
          </c:extLst>
        </c:ser>
        <c:ser>
          <c:idx val="1"/>
          <c:order val="2"/>
          <c:tx>
            <c:strRef>
              <c:f>'Figure 6'!$D$1</c:f>
              <c:strCache>
                <c:ptCount val="1"/>
                <c:pt idx="0">
                  <c:v>Food and other use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40000"/>
                  <a:lumOff val="60000"/>
                </a:srgbClr>
              </a:solidFill>
            </a:ln>
            <a:effectLst/>
          </c:spPr>
          <c:invertIfNegative val="0"/>
          <c:cat>
            <c:strRef>
              <c:f>'Figure 6'!$A$2:$A$13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6'!$D$2:$D$13</c:f>
              <c:numCache>
                <c:formatCode>_(* #,##0_);_(* \(#,##0\);_(* "-"_);_(@_)</c:formatCode>
                <c:ptCount val="12"/>
                <c:pt idx="0">
                  <c:v>11335</c:v>
                </c:pt>
                <c:pt idx="1">
                  <c:v>12559</c:v>
                </c:pt>
                <c:pt idx="2">
                  <c:v>13192</c:v>
                </c:pt>
                <c:pt idx="3">
                  <c:v>14242</c:v>
                </c:pt>
                <c:pt idx="4">
                  <c:v>14275</c:v>
                </c:pt>
                <c:pt idx="5">
                  <c:v>15117</c:v>
                </c:pt>
                <c:pt idx="6">
                  <c:v>16462</c:v>
                </c:pt>
                <c:pt idx="7">
                  <c:v>17514</c:v>
                </c:pt>
                <c:pt idx="8">
                  <c:v>18189</c:v>
                </c:pt>
                <c:pt idx="9" formatCode="_(* #,##0_);_(* \(#,##0\);_(* &quot;-&quot;??_);_(@_)">
                  <c:v>19097</c:v>
                </c:pt>
                <c:pt idx="10">
                  <c:v>18589</c:v>
                </c:pt>
                <c:pt idx="11">
                  <c:v>20567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892-49CA-B697-102DC89D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'Figure 6'!$A$2:$A$13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'Figure 6'!$B$2:$B$13</c:f>
              <c:numCache>
                <c:formatCode>_(* #,##0_);_(* \(#,##0\);_(* "-"_);_(@_)</c:formatCode>
                <c:ptCount val="12"/>
                <c:pt idx="0">
                  <c:v>12085</c:v>
                </c:pt>
                <c:pt idx="1">
                  <c:v>14362</c:v>
                </c:pt>
                <c:pt idx="2">
                  <c:v>12871</c:v>
                </c:pt>
                <c:pt idx="3">
                  <c:v>15647</c:v>
                </c:pt>
                <c:pt idx="4">
                  <c:v>14974</c:v>
                </c:pt>
                <c:pt idx="5">
                  <c:v>15461</c:v>
                </c:pt>
                <c:pt idx="6">
                  <c:v>18294</c:v>
                </c:pt>
                <c:pt idx="7">
                  <c:v>18605</c:v>
                </c:pt>
                <c:pt idx="8">
                  <c:v>19619</c:v>
                </c:pt>
                <c:pt idx="9" formatCode="_(* #,##0_);_(* \(#,##0\);_(* &quot;-&quot;??_);_(@_)">
                  <c:v>21201</c:v>
                </c:pt>
                <c:pt idx="10">
                  <c:v>19133</c:v>
                </c:pt>
                <c:pt idx="11">
                  <c:v>22054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2-49CA-B697-102DC89D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835103460904594"/>
              <c:y val="0.88041445980815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 </a:t>
                </a:r>
              </a:p>
            </c:rich>
          </c:tx>
          <c:layout>
            <c:manualLayout>
              <c:xMode val="edge"/>
              <c:yMode val="edge"/>
              <c:x val="1.2515680772323007E-2"/>
              <c:y val="0.15077736184616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127976047057761"/>
          <c:y val="0.14606922438630043"/>
          <c:w val="0.48407787673739827"/>
          <c:h val="4.8419937944915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182033</xdr:colOff>
      <xdr:row>0</xdr:row>
      <xdr:rowOff>38100</xdr:rowOff>
    </xdr:from>
    <xdr:to>
      <xdr:col>15</xdr:col>
      <xdr:colOff>172508</xdr:colOff>
      <xdr:row>17</xdr:row>
      <xdr:rowOff>112184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556A1-7316-4BAB-A542-C6B4855B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0.94041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24275"/>
          <a:ext cx="5897880" cy="236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0</xdr:row>
      <xdr:rowOff>104775</xdr:rowOff>
    </xdr:from>
    <xdr:to>
      <xdr:col>14</xdr:col>
      <xdr:colOff>3864</xdr:colOff>
      <xdr:row>22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9D511-50B7-4E33-8BD2-C444B8C4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0.91026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81375"/>
          <a:ext cx="591889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200023</xdr:colOff>
      <xdr:row>0</xdr:row>
      <xdr:rowOff>66675</xdr:rowOff>
    </xdr:from>
    <xdr:to>
      <xdr:col>13</xdr:col>
      <xdr:colOff>230503</xdr:colOff>
      <xdr:row>21</xdr:row>
      <xdr:rowOff>91440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7749F9B1-83EB-4848-BC4D-5A07244B5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0.91872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52825"/>
          <a:ext cx="59188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 Department of Energy, 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Energy Information Administration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0</xdr:row>
      <xdr:rowOff>38100</xdr:rowOff>
    </xdr:from>
    <xdr:to>
      <xdr:col>15</xdr:col>
      <xdr:colOff>340995</xdr:colOff>
      <xdr:row>22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E4BF01-ABC1-4C81-B5B2-B8DFC838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0.9099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82987"/>
          <a:ext cx="5897880" cy="32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Research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0.79628</cdr:x>
      <cdr:y>0.12182</cdr:y>
    </cdr:from>
    <cdr:to>
      <cdr:x>0.97861</cdr:x>
      <cdr:y>0.19091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DE19E9-2814-4FAA-BB29-D9B4C68256A8}"/>
            </a:ext>
          </a:extLst>
        </cdr:cNvPr>
        <cdr:cNvSpPr/>
      </cdr:nvSpPr>
      <cdr:spPr>
        <a:xfrm xmlns:a="http://schemas.openxmlformats.org/drawingml/2006/main">
          <a:off x="5342537" y="505674"/>
          <a:ext cx="1223327" cy="286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Tons</a:t>
          </a:r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per hectare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31538</xdr:colOff>
      <xdr:row>0</xdr:row>
      <xdr:rowOff>95250</xdr:rowOff>
    </xdr:from>
    <xdr:to>
      <xdr:col>14</xdr:col>
      <xdr:colOff>22013</xdr:colOff>
      <xdr:row>21</xdr:row>
      <xdr:rowOff>95250</xdr:rowOff>
    </xdr:to>
    <xdr:graphicFrame macro="">
      <xdr:nvGraphicFramePr>
        <xdr:cNvPr id="162" name="Chart 1">
          <a:extLst>
            <a:ext uri="{FF2B5EF4-FFF2-40B4-BE49-F238E27FC236}">
              <a16:creationId xmlns:a16="http://schemas.microsoft.com/office/drawing/2014/main" id="{F5CE2468-50A1-429D-9E27-BAA221CD6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0.00751</cdr:x>
      <cdr:y>0.91339</cdr:y>
    </cdr:from>
    <cdr:to>
      <cdr:x>0.99263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45720" y="3535679"/>
          <a:ext cx="5995881" cy="335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+mn-cs"/>
            </a:rPr>
            <a:t>USDA,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+mn-cs"/>
            </a:rPr>
            <a:t>Economic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+mn-cs"/>
            </a:rPr>
            <a:t> Research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+mn-cs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+mn-cs"/>
            </a:rPr>
            <a:t> Supply, and Distribution.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0.8327</cdr:x>
      <cdr:y>0.11839</cdr:y>
    </cdr:from>
    <cdr:to>
      <cdr:x>0.99031</cdr:x>
      <cdr:y>0.15509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91E85F9D-5751-4588-BA88-3FA46BD432EE}"/>
            </a:ext>
          </a:extLst>
        </cdr:cNvPr>
        <cdr:cNvSpPr/>
      </cdr:nvSpPr>
      <cdr:spPr bwMode="auto">
        <a:xfrm xmlns:a="http://schemas.openxmlformats.org/drawingml/2006/main">
          <a:off x="4909560" y="462354"/>
          <a:ext cx="929265" cy="143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Tons per hectare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0</xdr:row>
      <xdr:rowOff>28575</xdr:rowOff>
    </xdr:from>
    <xdr:to>
      <xdr:col>11</xdr:col>
      <xdr:colOff>365760</xdr:colOff>
      <xdr:row>23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B84ED3-CF58-4607-AC94-6C2CEA1F7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0.91985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48099"/>
          <a:ext cx="6393180" cy="335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using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7109375" defaultRowHeight="14.25" x14ac:dyDescent="0.2"/>
  <cols>
    <col min="1" max="1" width="166.85546875" style="13" bestFit="1" customWidth="1"/>
    <col min="2" max="16384" width="9.7109375" style="1"/>
  </cols>
  <sheetData>
    <row r="1" spans="1:3" ht="15" x14ac:dyDescent="0.25">
      <c r="A1" s="8" t="s">
        <v>0</v>
      </c>
      <c r="B1" s="158"/>
      <c r="C1" s="158"/>
    </row>
    <row r="2" spans="1:3" s="2" customFormat="1" x14ac:dyDescent="0.2">
      <c r="A2" s="9"/>
    </row>
    <row r="3" spans="1:3" x14ac:dyDescent="0.2">
      <c r="A3" s="11" t="s">
        <v>1</v>
      </c>
      <c r="B3" s="3"/>
      <c r="C3" s="2"/>
    </row>
    <row r="4" spans="1:3" x14ac:dyDescent="0.2">
      <c r="A4" s="11" t="s">
        <v>2</v>
      </c>
      <c r="B4" s="4"/>
      <c r="C4" s="158"/>
    </row>
    <row r="5" spans="1:3" x14ac:dyDescent="0.2">
      <c r="A5" s="11" t="s">
        <v>3</v>
      </c>
      <c r="B5" s="4"/>
      <c r="C5" s="158"/>
    </row>
    <row r="6" spans="1:3" x14ac:dyDescent="0.2">
      <c r="A6" s="11" t="s">
        <v>4</v>
      </c>
      <c r="B6" s="4"/>
      <c r="C6" s="158"/>
    </row>
    <row r="7" spans="1:3" x14ac:dyDescent="0.2">
      <c r="A7" s="11" t="s">
        <v>5</v>
      </c>
      <c r="B7" s="4"/>
      <c r="C7" s="158"/>
    </row>
    <row r="8" spans="1:3" x14ac:dyDescent="0.2">
      <c r="A8" s="11" t="s">
        <v>6</v>
      </c>
      <c r="B8" s="4"/>
      <c r="C8" s="158"/>
    </row>
    <row r="9" spans="1:3" x14ac:dyDescent="0.2">
      <c r="A9" s="11" t="s">
        <v>7</v>
      </c>
      <c r="B9" s="4"/>
      <c r="C9" s="158"/>
    </row>
    <row r="10" spans="1:3" x14ac:dyDescent="0.2">
      <c r="A10" s="11" t="s">
        <v>8</v>
      </c>
      <c r="B10" s="4"/>
      <c r="C10" s="158"/>
    </row>
    <row r="11" spans="1:3" x14ac:dyDescent="0.2">
      <c r="A11" s="11" t="s">
        <v>9</v>
      </c>
      <c r="B11" s="4"/>
      <c r="C11" s="158"/>
    </row>
    <row r="12" spans="1:3" x14ac:dyDescent="0.2">
      <c r="A12" s="11" t="s">
        <v>10</v>
      </c>
      <c r="B12" s="4"/>
      <c r="C12" s="158"/>
    </row>
    <row r="13" spans="1:3" x14ac:dyDescent="0.2">
      <c r="A13" s="12" t="s">
        <v>163</v>
      </c>
      <c r="B13" s="4"/>
      <c r="C13" s="158"/>
    </row>
    <row r="14" spans="1:3" ht="12.75" x14ac:dyDescent="0.2">
      <c r="A14" s="158"/>
      <c r="B14" s="158"/>
      <c r="C14" s="158"/>
    </row>
    <row r="15" spans="1:3" ht="15" x14ac:dyDescent="0.25">
      <c r="A15" s="8" t="s">
        <v>11</v>
      </c>
      <c r="B15" s="159"/>
      <c r="C15" s="158"/>
    </row>
    <row r="16" spans="1:3" ht="15" x14ac:dyDescent="0.25">
      <c r="A16" s="10">
        <f ca="1">TODAY()</f>
        <v>44540</v>
      </c>
      <c r="B16" s="158"/>
      <c r="C16" s="158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3"/>
  <sheetViews>
    <sheetView showGridLines="0" zoomScale="70" zoomScaleNormal="70" workbookViewId="0"/>
  </sheetViews>
  <sheetFormatPr defaultColWidth="9.140625" defaultRowHeight="12.75" x14ac:dyDescent="0.2"/>
  <cols>
    <col min="1" max="1" width="21.7109375" style="18" customWidth="1"/>
    <col min="2" max="2" width="14.140625" style="18" bestFit="1" customWidth="1"/>
    <col min="3" max="3" width="9.5703125" style="18" customWidth="1"/>
    <col min="4" max="4" width="26.7109375" style="18" customWidth="1"/>
    <col min="5" max="5" width="9.7109375" style="18" customWidth="1"/>
    <col min="6" max="6" width="10.7109375" style="18" customWidth="1"/>
    <col min="7" max="7" width="8.7109375" style="18" bestFit="1" customWidth="1"/>
    <col min="8" max="8" width="9.7109375" style="18" customWidth="1"/>
    <col min="9" max="9" width="1.7109375" style="18" customWidth="1"/>
    <col min="10" max="10" width="9.7109375" style="18" customWidth="1"/>
    <col min="11" max="12" width="10.7109375" style="18" customWidth="1"/>
    <col min="13" max="13" width="10.28515625" style="18" customWidth="1"/>
    <col min="14" max="14" width="9.7109375" style="18" customWidth="1"/>
    <col min="15" max="16" width="9.140625" style="18"/>
    <col min="17" max="17" width="15.42578125" style="18" bestFit="1" customWidth="1"/>
    <col min="18" max="18" width="10.140625" style="18" bestFit="1" customWidth="1"/>
    <col min="19" max="16384" width="9.140625" style="18"/>
  </cols>
  <sheetData>
    <row r="1" spans="1:23" ht="14.25" x14ac:dyDescent="0.2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4.25" x14ac:dyDescent="0.2">
      <c r="A2" s="19"/>
      <c r="B2" s="20" t="s">
        <v>12</v>
      </c>
      <c r="C2" s="156"/>
      <c r="D2" s="21" t="s">
        <v>13</v>
      </c>
      <c r="E2" s="22"/>
      <c r="F2" s="156" t="s">
        <v>14</v>
      </c>
      <c r="G2" s="156"/>
      <c r="H2" s="156"/>
      <c r="I2" s="23"/>
      <c r="J2" s="22"/>
      <c r="K2" s="156"/>
      <c r="L2" s="24" t="s">
        <v>15</v>
      </c>
      <c r="M2" s="156"/>
      <c r="N2" s="19"/>
    </row>
    <row r="3" spans="1:23" ht="14.25" x14ac:dyDescent="0.2">
      <c r="A3" s="19" t="s">
        <v>16</v>
      </c>
      <c r="B3" s="21" t="s">
        <v>17</v>
      </c>
      <c r="C3" s="19" t="s">
        <v>18</v>
      </c>
      <c r="D3" s="21"/>
      <c r="E3" s="25" t="s">
        <v>19</v>
      </c>
      <c r="F3" s="25"/>
      <c r="G3" s="25"/>
      <c r="H3" s="25"/>
      <c r="I3" s="25"/>
      <c r="J3" s="21" t="s">
        <v>20</v>
      </c>
      <c r="K3" s="25" t="s">
        <v>21</v>
      </c>
      <c r="L3" s="25"/>
      <c r="M3" s="25"/>
      <c r="N3" s="25" t="s">
        <v>22</v>
      </c>
    </row>
    <row r="4" spans="1:23" ht="14.25" x14ac:dyDescent="0.2">
      <c r="A4" s="26" t="s">
        <v>23</v>
      </c>
      <c r="B4" s="27"/>
      <c r="C4" s="27"/>
      <c r="D4" s="27"/>
      <c r="E4" s="28" t="s">
        <v>24</v>
      </c>
      <c r="F4" s="28" t="s">
        <v>25</v>
      </c>
      <c r="G4" s="29" t="s">
        <v>26</v>
      </c>
      <c r="H4" s="30" t="s">
        <v>27</v>
      </c>
      <c r="I4" s="29"/>
      <c r="J4" s="29"/>
      <c r="K4" s="29" t="s">
        <v>28</v>
      </c>
      <c r="L4" s="30" t="s">
        <v>29</v>
      </c>
      <c r="M4" s="28" t="s">
        <v>27</v>
      </c>
      <c r="N4" s="29" t="s">
        <v>24</v>
      </c>
      <c r="W4" s="31"/>
    </row>
    <row r="5" spans="1:23" ht="14.25" x14ac:dyDescent="0.2">
      <c r="A5" s="19"/>
      <c r="B5" s="32" t="s">
        <v>30</v>
      </c>
      <c r="C5" s="157"/>
      <c r="D5" s="33" t="s">
        <v>31</v>
      </c>
      <c r="G5" s="32"/>
      <c r="I5" s="32"/>
      <c r="J5" s="32" t="s">
        <v>32</v>
      </c>
      <c r="K5" s="32"/>
      <c r="L5" s="32"/>
      <c r="M5" s="32"/>
      <c r="N5" s="32"/>
      <c r="W5" s="31"/>
    </row>
    <row r="6" spans="1:23" ht="16.5" customHeight="1" x14ac:dyDescent="0.2">
      <c r="A6" s="19" t="s">
        <v>33</v>
      </c>
      <c r="B6" s="34">
        <v>76.099999999999994</v>
      </c>
      <c r="C6" s="34">
        <v>74.938999999999993</v>
      </c>
      <c r="D6" s="34">
        <f>F6/C6</f>
        <v>47.397323156167019</v>
      </c>
      <c r="E6" s="35">
        <v>909</v>
      </c>
      <c r="F6" s="36">
        <v>3551.9079999999999</v>
      </c>
      <c r="G6" s="37">
        <v>15.380623192800002</v>
      </c>
      <c r="H6" s="37">
        <f>SUM(E6:G6)</f>
        <v>4476.2886231927996</v>
      </c>
      <c r="I6" s="36" t="e">
        <f>#REF!</f>
        <v>#REF!</v>
      </c>
      <c r="J6" s="36">
        <v>2164.571916009776</v>
      </c>
      <c r="K6" s="36">
        <f>M6-L6-J6</f>
        <v>107.92510436542307</v>
      </c>
      <c r="L6" s="37">
        <v>1679.2506028176001</v>
      </c>
      <c r="M6" s="37">
        <f>H6-N6</f>
        <v>3951.7476231927994</v>
      </c>
      <c r="N6" s="37">
        <v>524.54100000000017</v>
      </c>
    </row>
    <row r="7" spans="1:23" ht="16.5" customHeight="1" x14ac:dyDescent="0.2">
      <c r="A7" s="19" t="s">
        <v>34</v>
      </c>
      <c r="B7" s="34">
        <v>83.353999999999999</v>
      </c>
      <c r="C7" s="34">
        <v>82.602999999999994</v>
      </c>
      <c r="D7" s="34">
        <f>F7/C7</f>
        <v>51.042964541239421</v>
      </c>
      <c r="E7" s="35">
        <f>N6</f>
        <v>524.54100000000017</v>
      </c>
      <c r="F7" s="36">
        <f>F28</f>
        <v>4216.3019999999997</v>
      </c>
      <c r="G7" s="37">
        <f>G28</f>
        <v>19.838438342399996</v>
      </c>
      <c r="H7" s="37">
        <f>SUM(E7:G7)</f>
        <v>4760.6814383423998</v>
      </c>
      <c r="I7" s="19"/>
      <c r="J7" s="36">
        <f>J28</f>
        <v>2140.6021535309255</v>
      </c>
      <c r="K7" s="36">
        <f t="shared" ref="K7:K8" si="0">M7-L7-J7</f>
        <v>98.451103312274427</v>
      </c>
      <c r="L7" s="37">
        <f>L28</f>
        <v>2265.4491814991998</v>
      </c>
      <c r="M7" s="37">
        <f>H7-N7</f>
        <v>4504.5024383423997</v>
      </c>
      <c r="N7" s="37">
        <f>N27</f>
        <v>256.17899999999997</v>
      </c>
    </row>
    <row r="8" spans="1:23" ht="16.5" customHeight="1" x14ac:dyDescent="0.2">
      <c r="A8" s="19" t="s">
        <v>35</v>
      </c>
      <c r="B8" s="34">
        <v>87.234999999999999</v>
      </c>
      <c r="C8" s="34">
        <v>86.436000000000007</v>
      </c>
      <c r="D8" s="34">
        <f>F8/C8</f>
        <v>51.193275949835716</v>
      </c>
      <c r="E8" s="35">
        <f>N7</f>
        <v>256.17899999999997</v>
      </c>
      <c r="F8" s="36">
        <v>4424.942</v>
      </c>
      <c r="G8" s="37">
        <v>15</v>
      </c>
      <c r="H8" s="37">
        <f>SUM(E8:G8)</f>
        <v>4696.1210000000001</v>
      </c>
      <c r="I8" s="19"/>
      <c r="J8" s="36">
        <v>2190</v>
      </c>
      <c r="K8" s="36">
        <f t="shared" si="0"/>
        <v>116.22100000000046</v>
      </c>
      <c r="L8" s="37">
        <v>2050</v>
      </c>
      <c r="M8" s="37">
        <f>H8-N8</f>
        <v>4356.2210000000005</v>
      </c>
      <c r="N8" s="37">
        <v>339.9</v>
      </c>
    </row>
    <row r="9" spans="1:23" ht="16.5" customHeight="1" x14ac:dyDescent="0.2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 x14ac:dyDescent="0.2">
      <c r="A10" s="23" t="s">
        <v>36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0"/>
    </row>
    <row r="11" spans="1:23" ht="16.5" customHeight="1" x14ac:dyDescent="0.25">
      <c r="A11" s="41" t="s">
        <v>37</v>
      </c>
      <c r="B11" s="160"/>
      <c r="C11" s="160"/>
      <c r="D11" s="160"/>
      <c r="E11" s="43"/>
      <c r="F11" s="44"/>
      <c r="G11" s="7"/>
      <c r="H11" s="14"/>
      <c r="I11" s="160"/>
      <c r="J11" s="14"/>
      <c r="K11" s="45"/>
      <c r="L11" s="7"/>
      <c r="M11" s="7"/>
      <c r="N11" s="14"/>
    </row>
    <row r="12" spans="1:23" ht="16.5" customHeight="1" x14ac:dyDescent="0.2">
      <c r="A12" s="23" t="s">
        <v>38</v>
      </c>
      <c r="B12" s="160"/>
      <c r="C12" s="160"/>
      <c r="D12" s="160"/>
      <c r="E12" s="43"/>
      <c r="F12" s="44"/>
      <c r="G12" s="7">
        <f>(44527.6*36.744)/1000000</f>
        <v>1.6361221343999999</v>
      </c>
      <c r="I12" s="160"/>
      <c r="J12" s="14">
        <f>((5131665*0.907185)*36.744)/1000000</f>
        <v>171.05689738659061</v>
      </c>
      <c r="K12" s="42"/>
      <c r="L12" s="7">
        <f>(7191284.4*36.744)/1000000</f>
        <v>264.23655399360001</v>
      </c>
      <c r="M12" s="7"/>
      <c r="N12" s="14"/>
    </row>
    <row r="13" spans="1:23" ht="16.5" customHeight="1" x14ac:dyDescent="0.2">
      <c r="A13" s="23" t="s">
        <v>39</v>
      </c>
      <c r="B13" s="160"/>
      <c r="C13" s="160"/>
      <c r="D13" s="160"/>
      <c r="E13" s="46"/>
      <c r="F13" s="44"/>
      <c r="G13" s="7">
        <f>(24879.1*36.744)/1000000</f>
        <v>0.91415765039999997</v>
      </c>
      <c r="I13" s="160"/>
      <c r="J13" s="14">
        <f>((5897079*0.907185)*36.744)/1000000</f>
        <v>196.57090581392558</v>
      </c>
      <c r="K13" s="42"/>
      <c r="L13" s="7">
        <f>(11636404.4*36.744)/1000000</f>
        <v>427.56804327359998</v>
      </c>
      <c r="M13" s="7"/>
      <c r="N13" s="14"/>
    </row>
    <row r="14" spans="1:23" ht="16.5" customHeight="1" x14ac:dyDescent="0.2">
      <c r="A14" s="23" t="s">
        <v>40</v>
      </c>
      <c r="B14" s="160"/>
      <c r="C14" s="160"/>
      <c r="D14" s="160"/>
      <c r="E14" s="46"/>
      <c r="F14" s="44"/>
      <c r="G14" s="7">
        <f>(12431.7*36.744)/1000000</f>
        <v>0.4567903848</v>
      </c>
      <c r="I14" s="160"/>
      <c r="J14" s="14">
        <f>((5731207*0.907185)*36.744)/1000000</f>
        <v>191.04179397920748</v>
      </c>
      <c r="K14" s="42"/>
      <c r="L14" s="7">
        <f>(10867331.6*36.744)/1000000</f>
        <v>399.30923231040003</v>
      </c>
      <c r="M14" s="7"/>
      <c r="N14" s="14"/>
    </row>
    <row r="15" spans="1:23" ht="16.5" customHeight="1" x14ac:dyDescent="0.2">
      <c r="A15" s="23" t="s">
        <v>41</v>
      </c>
      <c r="B15" s="160"/>
      <c r="C15" s="160"/>
      <c r="D15" s="160"/>
      <c r="E15" s="43">
        <f>N6</f>
        <v>524.54100000000017</v>
      </c>
      <c r="F15" s="44">
        <v>4216.3019999999997</v>
      </c>
      <c r="G15" s="7">
        <f>G12+G13+G14</f>
        <v>3.0070701696</v>
      </c>
      <c r="H15" s="14">
        <f>E15+F15+G15</f>
        <v>4743.8500701696003</v>
      </c>
      <c r="I15" s="160"/>
      <c r="J15" s="14">
        <f>J12+J13+J14</f>
        <v>558.66959717972361</v>
      </c>
      <c r="K15" s="42">
        <f>M15-L15-J15</f>
        <v>147.32664341227689</v>
      </c>
      <c r="L15" s="7">
        <f>L12+L13+L14</f>
        <v>1091.1138295776</v>
      </c>
      <c r="M15" s="7">
        <f>H15-N15</f>
        <v>1797.1100701696005</v>
      </c>
      <c r="N15" s="14">
        <v>2946.74</v>
      </c>
    </row>
    <row r="16" spans="1:23" ht="16.899999999999999" customHeight="1" x14ac:dyDescent="0.2">
      <c r="A16" s="19" t="s">
        <v>42</v>
      </c>
      <c r="B16" s="160"/>
      <c r="C16" s="160"/>
      <c r="D16" s="160"/>
      <c r="E16" s="43"/>
      <c r="F16" s="7"/>
      <c r="G16" s="7">
        <f>(23426.8*36.744)/1000000</f>
        <v>0.86079433919999992</v>
      </c>
      <c r="H16" s="14"/>
      <c r="I16" s="160"/>
      <c r="J16" s="14">
        <f>((5794233*0.907185)*36.744)/1000000</f>
        <v>193.14267780827416</v>
      </c>
      <c r="K16" s="42"/>
      <c r="L16" s="7">
        <f>(10445198.5*36.744)/1000000</f>
        <v>383.79837368400001</v>
      </c>
      <c r="M16" s="7"/>
      <c r="N16" s="14"/>
    </row>
    <row r="17" spans="1:14" ht="16.899999999999999" customHeight="1" x14ac:dyDescent="0.2">
      <c r="A17" s="19" t="s">
        <v>43</v>
      </c>
      <c r="B17" s="160"/>
      <c r="C17" s="160"/>
      <c r="D17" s="160"/>
      <c r="E17" s="43"/>
      <c r="F17" s="7"/>
      <c r="G17" s="7">
        <f>(19638*36.744)/1000000</f>
        <v>0.72157867200000003</v>
      </c>
      <c r="H17" s="14"/>
      <c r="I17" s="160"/>
      <c r="J17" s="14">
        <f>((5895360*0.907185)*36.744)/1000000</f>
        <v>196.5136053458304</v>
      </c>
      <c r="K17" s="42"/>
      <c r="L17" s="7">
        <f>(8829299.6*36.744)/1000000</f>
        <v>324.4237845024</v>
      </c>
      <c r="M17" s="7"/>
      <c r="N17" s="14"/>
    </row>
    <row r="18" spans="1:14" ht="16.899999999999999" customHeight="1" x14ac:dyDescent="0.2">
      <c r="A18" s="19" t="s">
        <v>44</v>
      </c>
      <c r="B18" s="160"/>
      <c r="C18" s="160"/>
      <c r="D18" s="160"/>
      <c r="E18" s="43"/>
      <c r="F18" s="7"/>
      <c r="G18" s="7">
        <f>(22552.9*36.744)/1000000</f>
        <v>0.82868375760000001</v>
      </c>
      <c r="H18" s="14"/>
      <c r="I18" s="160"/>
      <c r="J18" s="14">
        <f>((4930499*0.907185)*36.744)/1000000</f>
        <v>164.35130927441435</v>
      </c>
      <c r="K18" s="42"/>
      <c r="L18" s="7">
        <f>(4558707.1*36.744)/1000000</f>
        <v>167.50513368239999</v>
      </c>
      <c r="M18" s="7"/>
      <c r="N18" s="14"/>
    </row>
    <row r="19" spans="1:14" ht="16.899999999999999" customHeight="1" x14ac:dyDescent="0.2">
      <c r="A19" s="19" t="s">
        <v>45</v>
      </c>
      <c r="B19" s="160"/>
      <c r="C19" s="160"/>
      <c r="D19" s="160"/>
      <c r="E19" s="43">
        <f>N15</f>
        <v>2946.74</v>
      </c>
      <c r="F19" s="7"/>
      <c r="G19" s="7">
        <f>SUM(G16:G18)</f>
        <v>2.4110567688</v>
      </c>
      <c r="H19" s="14">
        <f>E19+F19+G19</f>
        <v>2949.1510567687997</v>
      </c>
      <c r="I19" s="160"/>
      <c r="J19" s="14">
        <f>SUM(J16:J18)</f>
        <v>554.00759242851893</v>
      </c>
      <c r="K19" s="42">
        <f>M19-L19-J19</f>
        <v>-42.267827528519319</v>
      </c>
      <c r="L19" s="7">
        <f>SUM(L16:L18)</f>
        <v>875.72729186880008</v>
      </c>
      <c r="M19" s="7">
        <f>H19-N19</f>
        <v>1387.4670567687997</v>
      </c>
      <c r="N19" s="14">
        <v>1561.684</v>
      </c>
    </row>
    <row r="20" spans="1:14" ht="16.899999999999999" customHeight="1" x14ac:dyDescent="0.2">
      <c r="A20" s="19" t="s">
        <v>46</v>
      </c>
      <c r="B20" s="160"/>
      <c r="C20" s="160"/>
      <c r="D20" s="160"/>
      <c r="E20" s="43"/>
      <c r="F20" s="7"/>
      <c r="G20" s="7">
        <f>(26142.7*36.744)/1000000</f>
        <v>0.96058736880000006</v>
      </c>
      <c r="H20" s="14"/>
      <c r="I20" s="160"/>
      <c r="J20" s="14">
        <f>((5646728*0.907185)*36.744)/1000000</f>
        <v>188.22580430834591</v>
      </c>
      <c r="K20" s="42"/>
      <c r="L20" s="7">
        <f>(2295121.8*36.744)/1000000</f>
        <v>84.331955419199986</v>
      </c>
      <c r="M20" s="7"/>
      <c r="N20" s="47"/>
    </row>
    <row r="21" spans="1:14" ht="16.899999999999999" customHeight="1" x14ac:dyDescent="0.2">
      <c r="A21" s="19" t="s">
        <v>47</v>
      </c>
      <c r="B21" s="160"/>
      <c r="C21" s="160"/>
      <c r="D21" s="160"/>
      <c r="E21" s="43"/>
      <c r="F21" s="7"/>
      <c r="G21" s="7">
        <f>(34734.1*36.744)/1000000</f>
        <v>1.2762697704000001</v>
      </c>
      <c r="H21" s="14"/>
      <c r="I21" s="160"/>
      <c r="J21" s="14">
        <f>((5095631*0.907185)*36.744)/1000000</f>
        <v>169.85575424095885</v>
      </c>
      <c r="K21" s="42"/>
      <c r="L21" s="7">
        <f>(1384924.4*36.744)/1000000</f>
        <v>50.887662153599997</v>
      </c>
      <c r="M21" s="7"/>
      <c r="N21" s="47"/>
    </row>
    <row r="22" spans="1:14" ht="16.899999999999999" customHeight="1" x14ac:dyDescent="0.2">
      <c r="A22" s="19" t="s">
        <v>48</v>
      </c>
      <c r="B22" s="160"/>
      <c r="C22" s="160"/>
      <c r="D22" s="160"/>
      <c r="E22" s="43"/>
      <c r="F22" s="7"/>
      <c r="G22" s="7">
        <f>(51046.1*36.744)/1000000</f>
        <v>1.8756378983999997</v>
      </c>
      <c r="H22" s="14"/>
      <c r="I22" s="160"/>
      <c r="J22" s="14">
        <f>((5205032*0.907185)*36.744)/1000000</f>
        <v>173.50248403158051</v>
      </c>
      <c r="K22" s="42"/>
      <c r="L22" s="7">
        <f>(1266685.1*36.744)/1000000</f>
        <v>46.543077314400001</v>
      </c>
      <c r="M22" s="7"/>
      <c r="N22" s="47"/>
    </row>
    <row r="23" spans="1:14" ht="16.899999999999999" customHeight="1" x14ac:dyDescent="0.2">
      <c r="A23" s="19" t="s">
        <v>49</v>
      </c>
      <c r="B23" s="160"/>
      <c r="C23" s="160"/>
      <c r="D23" s="160"/>
      <c r="E23" s="43">
        <f>N19</f>
        <v>1561.684</v>
      </c>
      <c r="F23" s="7"/>
      <c r="G23" s="7">
        <f>SUM(G20:G22)</f>
        <v>4.1124950375999996</v>
      </c>
      <c r="H23" s="14">
        <f>E23+F23+G23</f>
        <v>1565.7964950375999</v>
      </c>
      <c r="I23" s="160"/>
      <c r="J23" s="15">
        <f>SUM(J20:J22)</f>
        <v>531.58404258088524</v>
      </c>
      <c r="K23" s="42">
        <f>M23-L23-J23</f>
        <v>83.137757569514747</v>
      </c>
      <c r="L23" s="7">
        <f>SUM(L20:L22)</f>
        <v>181.76269488719998</v>
      </c>
      <c r="M23" s="7">
        <f>H23-N23</f>
        <v>796.48449503759991</v>
      </c>
      <c r="N23" s="14">
        <v>769.31200000000001</v>
      </c>
    </row>
    <row r="24" spans="1:14" ht="16.899999999999999" customHeight="1" x14ac:dyDescent="0.2">
      <c r="A24" s="19" t="s">
        <v>50</v>
      </c>
      <c r="B24" s="160"/>
      <c r="C24" s="160"/>
      <c r="D24" s="160"/>
      <c r="E24" s="43"/>
      <c r="F24" s="7"/>
      <c r="G24" s="7">
        <f>(205436.7*36.744)/1000000</f>
        <v>7.5485661048000008</v>
      </c>
      <c r="H24" s="14"/>
      <c r="I24" s="160"/>
      <c r="J24" s="15">
        <f>((4852334*0.907185)*36.744)/1000000</f>
        <v>161.74578798956375</v>
      </c>
      <c r="K24" s="42"/>
      <c r="L24" s="7">
        <f>(925497.6*36.744)/1000000</f>
        <v>34.006483814399999</v>
      </c>
      <c r="M24" s="7"/>
      <c r="N24" s="14"/>
    </row>
    <row r="25" spans="1:14" ht="16.899999999999999" customHeight="1" x14ac:dyDescent="0.2">
      <c r="A25" s="19" t="s">
        <v>51</v>
      </c>
      <c r="B25" s="160"/>
      <c r="C25" s="160"/>
      <c r="D25" s="160"/>
      <c r="E25" s="43"/>
      <c r="F25" s="7"/>
      <c r="G25" s="7">
        <f>(59776.6*36.744)/1000000</f>
        <v>2.1964313903999999</v>
      </c>
      <c r="H25" s="14"/>
      <c r="I25" s="160"/>
      <c r="J25" s="15">
        <f>((4989996*0.907185)*36.744)/1000000</f>
        <v>166.33455880917742</v>
      </c>
      <c r="K25" s="42"/>
      <c r="L25" s="7">
        <f>(945804.5*36.744)/1000000</f>
        <v>34.752640548000002</v>
      </c>
      <c r="M25" s="7"/>
      <c r="N25" s="14"/>
    </row>
    <row r="26" spans="1:14" ht="16.899999999999999" customHeight="1" x14ac:dyDescent="0.2">
      <c r="A26" s="19" t="s">
        <v>52</v>
      </c>
      <c r="B26" s="160"/>
      <c r="C26" s="160"/>
      <c r="D26" s="160"/>
      <c r="E26" s="43"/>
      <c r="F26" s="7"/>
      <c r="G26" s="7">
        <f>(15317.3*36.744)/1000000</f>
        <v>0.56281887119999996</v>
      </c>
      <c r="H26" s="14"/>
      <c r="I26" s="160"/>
      <c r="J26" s="15">
        <f>((5047776*0.907185)*36.744)/1000000</f>
        <v>168.26057454305666</v>
      </c>
      <c r="K26" s="42"/>
      <c r="L26" s="7">
        <f>(1308682.8*36.744)/1000000</f>
        <v>48.086240803199999</v>
      </c>
      <c r="M26" s="7"/>
      <c r="N26" s="14"/>
    </row>
    <row r="27" spans="1:14" ht="16.899999999999999" customHeight="1" x14ac:dyDescent="0.2">
      <c r="A27" s="19" t="s">
        <v>53</v>
      </c>
      <c r="B27" s="160"/>
      <c r="C27" s="160"/>
      <c r="D27" s="160"/>
      <c r="E27" s="43">
        <f>N23</f>
        <v>769.31200000000001</v>
      </c>
      <c r="F27" s="7"/>
      <c r="G27" s="7">
        <f>SUM(G24:G26)</f>
        <v>10.307816366399999</v>
      </c>
      <c r="H27" s="14">
        <f>E27+F27+G27</f>
        <v>779.61981636639996</v>
      </c>
      <c r="I27" s="160"/>
      <c r="J27" s="15">
        <f>SUM(J24:J26)</f>
        <v>496.34092134179787</v>
      </c>
      <c r="K27" s="45">
        <f>M27-L27-J27</f>
        <v>-89.745470140997895</v>
      </c>
      <c r="L27" s="7">
        <f>SUM(L24:L26)</f>
        <v>116.8453651656</v>
      </c>
      <c r="M27" s="7">
        <f>H27-N27</f>
        <v>523.44081636639999</v>
      </c>
      <c r="N27" s="14">
        <v>256.17899999999997</v>
      </c>
    </row>
    <row r="28" spans="1:14" s="59" customFormat="1" ht="16.5" customHeight="1" x14ac:dyDescent="0.2">
      <c r="A28" s="23" t="s">
        <v>27</v>
      </c>
      <c r="B28" s="160"/>
      <c r="C28" s="160"/>
      <c r="D28" s="160"/>
      <c r="E28" s="43"/>
      <c r="F28" s="44">
        <f>F15</f>
        <v>4216.3019999999997</v>
      </c>
      <c r="G28" s="7">
        <f>G15+G19+G23+G27</f>
        <v>19.838438342399996</v>
      </c>
      <c r="H28" s="14">
        <f>E15+F28+G28</f>
        <v>4760.6814383423998</v>
      </c>
      <c r="I28" s="160"/>
      <c r="J28" s="14">
        <f>J15+J19+J23+J27</f>
        <v>2140.6021535309255</v>
      </c>
      <c r="K28" s="42">
        <f>SUM(K15,K19,K23,K27)</f>
        <v>98.451103312274427</v>
      </c>
      <c r="L28" s="7">
        <f>L15+L19+L23+L27</f>
        <v>2265.4491814991998</v>
      </c>
      <c r="M28" s="7">
        <f>M15+M19+M23+M27</f>
        <v>4504.5024383424006</v>
      </c>
      <c r="N28" s="14"/>
    </row>
    <row r="29" spans="1:14" ht="16.5" customHeight="1" x14ac:dyDescent="0.2">
      <c r="A29" s="23"/>
      <c r="B29" s="160"/>
      <c r="C29" s="160"/>
      <c r="D29" s="160"/>
      <c r="E29" s="43"/>
      <c r="F29" s="44"/>
      <c r="G29" s="7"/>
      <c r="H29" s="14"/>
      <c r="I29" s="160"/>
      <c r="J29" s="14"/>
      <c r="K29" s="42"/>
      <c r="L29" s="7"/>
      <c r="M29" s="7"/>
      <c r="N29" s="14"/>
    </row>
    <row r="30" spans="1:14" ht="16.5" customHeight="1" x14ac:dyDescent="0.25">
      <c r="A30" s="55" t="s">
        <v>54</v>
      </c>
      <c r="B30" s="160"/>
      <c r="C30" s="160"/>
      <c r="D30" s="160"/>
      <c r="E30" s="43"/>
      <c r="F30" s="44"/>
      <c r="G30" s="7"/>
      <c r="H30" s="14"/>
      <c r="I30" s="160"/>
      <c r="J30" s="14"/>
      <c r="K30" s="42"/>
      <c r="L30" s="7"/>
      <c r="M30" s="7"/>
      <c r="N30" s="14"/>
    </row>
    <row r="31" spans="1:14" ht="16.5" customHeight="1" x14ac:dyDescent="0.2">
      <c r="A31" s="23" t="s">
        <v>38</v>
      </c>
      <c r="B31" s="160"/>
      <c r="C31" s="160"/>
      <c r="D31" s="160"/>
      <c r="E31" s="43"/>
      <c r="F31" s="44"/>
      <c r="G31" s="7">
        <f>(24320.3*36.744)/1000000</f>
        <v>0.89362510319999999</v>
      </c>
      <c r="I31" s="160"/>
      <c r="J31" s="14">
        <f>((4924574*0.907185)*36.744)/1000000</f>
        <v>164.15380766099736</v>
      </c>
      <c r="K31" s="42"/>
      <c r="L31" s="7">
        <f>(2167640.8*36.744)/1000000</f>
        <v>79.647793555199996</v>
      </c>
      <c r="M31" s="7"/>
      <c r="N31" s="14"/>
    </row>
    <row r="32" spans="1:14" ht="16.5" customHeight="1" x14ac:dyDescent="0.2">
      <c r="A32" s="23" t="s">
        <v>39</v>
      </c>
      <c r="B32" s="160"/>
      <c r="C32" s="160"/>
      <c r="D32" s="160"/>
      <c r="E32" s="43"/>
      <c r="F32" s="44"/>
      <c r="G32" s="7">
        <f>(19235.5*36.744)/1000000</f>
        <v>0.70678921199999989</v>
      </c>
      <c r="I32" s="160"/>
      <c r="J32" s="14">
        <f>((5908157*0.907185)*36.744)/1000000</f>
        <v>196.9401754972055</v>
      </c>
      <c r="K32" s="42"/>
      <c r="L32" s="7">
        <f>(10506970*36.744)/1000000</f>
        <v>386.06810568000003</v>
      </c>
      <c r="M32" s="7"/>
      <c r="N32" s="14"/>
    </row>
    <row r="33" spans="1:73" ht="16.5" customHeight="1" x14ac:dyDescent="0.2">
      <c r="A33" s="23" t="s">
        <v>55</v>
      </c>
      <c r="B33" s="160"/>
      <c r="C33" s="160"/>
      <c r="D33" s="160"/>
      <c r="E33" s="43">
        <f>N27</f>
        <v>256.17899999999997</v>
      </c>
      <c r="F33" s="44"/>
      <c r="G33" s="7">
        <f>SUM(G31:G32)</f>
        <v>1.6004143151999999</v>
      </c>
      <c r="H33" s="14"/>
      <c r="I33" s="160"/>
      <c r="J33" s="14">
        <f>SUM(J31:J32)</f>
        <v>361.09398315820283</v>
      </c>
      <c r="K33" s="42"/>
      <c r="L33" s="7">
        <f>SUM(L31:L32)</f>
        <v>465.71589923520003</v>
      </c>
      <c r="M33" s="7"/>
      <c r="N33" s="14"/>
    </row>
    <row r="34" spans="1:73" ht="16.5" customHeight="1" x14ac:dyDescent="0.2">
      <c r="A34" s="132" t="s">
        <v>56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33"/>
      <c r="M34" s="100"/>
      <c r="N34" s="100"/>
    </row>
    <row r="35" spans="1:73" ht="16.5" customHeight="1" x14ac:dyDescent="0.2">
      <c r="A35" s="19" t="s">
        <v>57</v>
      </c>
      <c r="B35" s="19"/>
      <c r="C35" s="19"/>
      <c r="D35" s="1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73" ht="16.5" customHeight="1" x14ac:dyDescent="0.2">
      <c r="A36" s="25" t="s">
        <v>58</v>
      </c>
      <c r="B36" s="50">
        <f ca="1">NOW()</f>
        <v>44540.67973773148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61"/>
      <c r="P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</row>
    <row r="37" spans="1:73" x14ac:dyDescent="0.2">
      <c r="O37" s="161"/>
      <c r="P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</row>
    <row r="38" spans="1:73" x14ac:dyDescent="0.2">
      <c r="O38" s="161"/>
      <c r="P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</row>
    <row r="39" spans="1:73" x14ac:dyDescent="0.2">
      <c r="O39" s="161"/>
      <c r="P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</row>
    <row r="40" spans="1:73" x14ac:dyDescent="0.2">
      <c r="F40" s="51"/>
      <c r="O40" s="161"/>
      <c r="P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</row>
    <row r="41" spans="1:73" x14ac:dyDescent="0.2">
      <c r="O41" s="161"/>
      <c r="P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</row>
    <row r="42" spans="1:73" x14ac:dyDescent="0.2">
      <c r="O42" s="161"/>
      <c r="P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</row>
    <row r="43" spans="1:73" x14ac:dyDescent="0.2">
      <c r="O43" s="161"/>
      <c r="P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</row>
    <row r="44" spans="1:73" x14ac:dyDescent="0.2">
      <c r="O44" s="161"/>
      <c r="P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</row>
    <row r="45" spans="1:73" x14ac:dyDescent="0.2">
      <c r="O45" s="161"/>
      <c r="P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</row>
    <row r="46" spans="1:73" x14ac:dyDescent="0.2">
      <c r="O46" s="161"/>
      <c r="P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</row>
    <row r="47" spans="1:73" x14ac:dyDescent="0.2">
      <c r="O47" s="161"/>
      <c r="P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</row>
    <row r="48" spans="1:73" x14ac:dyDescent="0.2">
      <c r="O48" s="161"/>
      <c r="P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</row>
    <row r="49" spans="15:73" x14ac:dyDescent="0.2">
      <c r="O49" s="161"/>
      <c r="P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</row>
    <row r="50" spans="15:73" x14ac:dyDescent="0.2">
      <c r="O50" s="161"/>
      <c r="P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</row>
    <row r="51" spans="15:73" x14ac:dyDescent="0.2">
      <c r="O51" s="161"/>
      <c r="P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</row>
    <row r="52" spans="15:73" x14ac:dyDescent="0.2">
      <c r="O52" s="161"/>
      <c r="P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</row>
    <row r="53" spans="15:73" x14ac:dyDescent="0.2">
      <c r="O53" s="161"/>
      <c r="P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</row>
    <row r="54" spans="15:73" x14ac:dyDescent="0.2">
      <c r="O54" s="161"/>
      <c r="P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</row>
    <row r="55" spans="15:73" x14ac:dyDescent="0.2">
      <c r="O55" s="161"/>
      <c r="P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</row>
    <row r="56" spans="15:73" x14ac:dyDescent="0.2">
      <c r="O56" s="161"/>
      <c r="P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</row>
    <row r="57" spans="15:73" x14ac:dyDescent="0.2">
      <c r="O57" s="161"/>
      <c r="P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</row>
    <row r="58" spans="15:73" x14ac:dyDescent="0.2">
      <c r="O58" s="161"/>
      <c r="P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</row>
    <row r="59" spans="15:73" x14ac:dyDescent="0.2">
      <c r="O59" s="161"/>
      <c r="P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</row>
    <row r="60" spans="15:73" x14ac:dyDescent="0.2">
      <c r="O60" s="161"/>
      <c r="P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</row>
    <row r="61" spans="15:73" x14ac:dyDescent="0.2">
      <c r="O61" s="161"/>
      <c r="P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</row>
    <row r="62" spans="15:73" x14ac:dyDescent="0.2">
      <c r="O62" s="161"/>
      <c r="P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</row>
    <row r="63" spans="15:73" x14ac:dyDescent="0.2">
      <c r="O63" s="161"/>
      <c r="P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</row>
    <row r="64" spans="15:73" x14ac:dyDescent="0.2"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</row>
    <row r="65" spans="15:73" x14ac:dyDescent="0.2"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</row>
    <row r="66" spans="15:73" x14ac:dyDescent="0.2"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</row>
    <row r="67" spans="15:73" x14ac:dyDescent="0.2"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</row>
    <row r="68" spans="15:73" x14ac:dyDescent="0.2"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</row>
    <row r="69" spans="15:73" x14ac:dyDescent="0.2"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</row>
    <row r="70" spans="15:73" x14ac:dyDescent="0.2"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</row>
    <row r="71" spans="15:73" x14ac:dyDescent="0.2"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</row>
    <row r="72" spans="15:73" x14ac:dyDescent="0.2"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</row>
    <row r="73" spans="15:73" x14ac:dyDescent="0.2"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</row>
    <row r="74" spans="15:73" x14ac:dyDescent="0.2"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</row>
    <row r="75" spans="15:73" x14ac:dyDescent="0.2"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</row>
    <row r="76" spans="15:73" x14ac:dyDescent="0.2"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</row>
    <row r="77" spans="15:73" x14ac:dyDescent="0.2"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</row>
    <row r="78" spans="15:73" x14ac:dyDescent="0.2"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</row>
    <row r="79" spans="15:73" x14ac:dyDescent="0.2"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</row>
    <row r="80" spans="15:73" x14ac:dyDescent="0.2"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</row>
    <row r="81" spans="15:73" x14ac:dyDescent="0.2"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</row>
    <row r="82" spans="15:73" x14ac:dyDescent="0.2"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</row>
    <row r="83" spans="15:73" x14ac:dyDescent="0.2"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</row>
    <row r="84" spans="15:73" x14ac:dyDescent="0.2"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</row>
    <row r="85" spans="15:73" x14ac:dyDescent="0.2"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</row>
    <row r="86" spans="15:73" x14ac:dyDescent="0.2"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</row>
    <row r="87" spans="15:73" x14ac:dyDescent="0.2"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</row>
    <row r="88" spans="15:73" x14ac:dyDescent="0.2"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</row>
    <row r="89" spans="15:73" x14ac:dyDescent="0.2"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</row>
    <row r="90" spans="15:73" x14ac:dyDescent="0.2"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</row>
    <row r="91" spans="15:73" x14ac:dyDescent="0.2"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</row>
    <row r="92" spans="15:73" x14ac:dyDescent="0.2"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</row>
    <row r="93" spans="15:73" x14ac:dyDescent="0.2"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</row>
    <row r="94" spans="15:73" x14ac:dyDescent="0.2"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</row>
    <row r="95" spans="15:73" x14ac:dyDescent="0.2"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</row>
    <row r="96" spans="15:73" x14ac:dyDescent="0.2"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</row>
    <row r="97" spans="15:73" x14ac:dyDescent="0.2"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</row>
    <row r="98" spans="15:73" x14ac:dyDescent="0.2"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</row>
    <row r="99" spans="15:73" x14ac:dyDescent="0.2"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</row>
    <row r="100" spans="15:73" x14ac:dyDescent="0.2"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</row>
    <row r="101" spans="15:73" x14ac:dyDescent="0.2"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</row>
    <row r="102" spans="15:73" x14ac:dyDescent="0.2"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</row>
    <row r="103" spans="15:73" x14ac:dyDescent="0.2"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</row>
    <row r="104" spans="15:73" x14ac:dyDescent="0.2"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</row>
    <row r="105" spans="15:73" x14ac:dyDescent="0.2"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</row>
    <row r="106" spans="15:73" x14ac:dyDescent="0.2"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</row>
    <row r="107" spans="15:73" x14ac:dyDescent="0.2"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</row>
    <row r="108" spans="15:73" x14ac:dyDescent="0.2"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</row>
    <row r="109" spans="15:73" x14ac:dyDescent="0.2"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</row>
    <row r="110" spans="15:73" x14ac:dyDescent="0.2"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</row>
    <row r="111" spans="15:73" x14ac:dyDescent="0.2"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</row>
    <row r="112" spans="15:73" x14ac:dyDescent="0.2"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</row>
    <row r="113" spans="15:73" x14ac:dyDescent="0.2"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</row>
    <row r="114" spans="15:73" x14ac:dyDescent="0.2"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</row>
    <row r="115" spans="15:73" x14ac:dyDescent="0.2"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</row>
    <row r="116" spans="15:73" x14ac:dyDescent="0.2"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</row>
    <row r="117" spans="15:73" x14ac:dyDescent="0.2"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</row>
    <row r="118" spans="15:73" x14ac:dyDescent="0.2"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</row>
    <row r="119" spans="15:73" x14ac:dyDescent="0.2"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</row>
    <row r="120" spans="15:73" x14ac:dyDescent="0.2"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</row>
    <row r="121" spans="15:73" x14ac:dyDescent="0.2"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</row>
    <row r="122" spans="15:73" x14ac:dyDescent="0.2"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</row>
    <row r="123" spans="15:73" x14ac:dyDescent="0.2"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</row>
    <row r="124" spans="15:73" x14ac:dyDescent="0.2"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</row>
    <row r="125" spans="15:73" x14ac:dyDescent="0.2"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</row>
    <row r="126" spans="15:73" x14ac:dyDescent="0.2"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</row>
    <row r="127" spans="15:73" x14ac:dyDescent="0.2"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</row>
    <row r="128" spans="15:73" x14ac:dyDescent="0.2"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</row>
    <row r="129" spans="15:73" x14ac:dyDescent="0.2"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</row>
    <row r="130" spans="15:73" x14ac:dyDescent="0.2"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</row>
    <row r="131" spans="15:73" x14ac:dyDescent="0.2"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</row>
    <row r="132" spans="15:73" x14ac:dyDescent="0.2"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</row>
    <row r="133" spans="15:73" x14ac:dyDescent="0.2"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</row>
    <row r="134" spans="15:73" x14ac:dyDescent="0.2"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</row>
    <row r="135" spans="15:73" x14ac:dyDescent="0.2"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</row>
    <row r="136" spans="15:73" x14ac:dyDescent="0.2"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</row>
    <row r="137" spans="15:73" x14ac:dyDescent="0.2"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</row>
    <row r="138" spans="15:73" x14ac:dyDescent="0.2"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</row>
    <row r="139" spans="15:73" x14ac:dyDescent="0.2"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</row>
    <row r="140" spans="15:73" x14ac:dyDescent="0.2"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</row>
    <row r="141" spans="15:73" x14ac:dyDescent="0.2"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</row>
    <row r="142" spans="15:73" x14ac:dyDescent="0.2"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</row>
    <row r="143" spans="15:73" x14ac:dyDescent="0.2"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</row>
    <row r="144" spans="15:73" x14ac:dyDescent="0.2"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</row>
    <row r="145" spans="15:73" x14ac:dyDescent="0.2"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</row>
    <row r="146" spans="15:73" x14ac:dyDescent="0.2"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</row>
    <row r="147" spans="15:73" x14ac:dyDescent="0.2"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</row>
    <row r="148" spans="15:73" x14ac:dyDescent="0.2"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</row>
    <row r="149" spans="15:73" x14ac:dyDescent="0.2"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</row>
    <row r="150" spans="15:73" x14ac:dyDescent="0.2"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</row>
    <row r="151" spans="15:73" x14ac:dyDescent="0.2"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</row>
    <row r="152" spans="15:73" x14ac:dyDescent="0.2"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</row>
    <row r="153" spans="15:73" x14ac:dyDescent="0.2"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</row>
    <row r="154" spans="15:73" x14ac:dyDescent="0.2"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</row>
    <row r="155" spans="15:73" x14ac:dyDescent="0.2"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</row>
    <row r="156" spans="15:73" x14ac:dyDescent="0.2"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</row>
    <row r="157" spans="15:73" x14ac:dyDescent="0.2"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</row>
    <row r="158" spans="15:73" x14ac:dyDescent="0.2"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</row>
    <row r="159" spans="15:73" x14ac:dyDescent="0.2"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</row>
    <row r="160" spans="15:73" x14ac:dyDescent="0.2"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</row>
    <row r="161" spans="15:73" x14ac:dyDescent="0.2"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</row>
    <row r="162" spans="15:73" x14ac:dyDescent="0.2"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</row>
    <row r="163" spans="15:73" x14ac:dyDescent="0.2"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</row>
    <row r="164" spans="15:73" x14ac:dyDescent="0.2"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</row>
    <row r="165" spans="15:73" x14ac:dyDescent="0.2"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</row>
    <row r="166" spans="15:73" x14ac:dyDescent="0.2"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</row>
    <row r="167" spans="15:73" x14ac:dyDescent="0.2"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</row>
    <row r="168" spans="15:73" x14ac:dyDescent="0.2"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</row>
    <row r="169" spans="15:73" x14ac:dyDescent="0.2"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</row>
    <row r="170" spans="15:73" x14ac:dyDescent="0.2"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</row>
    <row r="171" spans="15:73" x14ac:dyDescent="0.2"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</row>
    <row r="172" spans="15:73" x14ac:dyDescent="0.2"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</row>
    <row r="173" spans="15:73" x14ac:dyDescent="0.2"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</row>
    <row r="174" spans="15:73" x14ac:dyDescent="0.2"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</row>
    <row r="175" spans="15:73" x14ac:dyDescent="0.2"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</row>
    <row r="176" spans="15:73" x14ac:dyDescent="0.2"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</row>
    <row r="177" spans="15:73" x14ac:dyDescent="0.2"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</row>
    <row r="178" spans="15:73" x14ac:dyDescent="0.2"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</row>
    <row r="179" spans="15:73" x14ac:dyDescent="0.2"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</row>
    <row r="180" spans="15:73" x14ac:dyDescent="0.2"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</row>
    <row r="181" spans="15:73" x14ac:dyDescent="0.2"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</row>
    <row r="182" spans="15:73" x14ac:dyDescent="0.2"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</row>
    <row r="183" spans="15:73" x14ac:dyDescent="0.2"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</row>
    <row r="184" spans="15:73" x14ac:dyDescent="0.2"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</row>
    <row r="185" spans="15:73" x14ac:dyDescent="0.2"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</row>
    <row r="186" spans="15:73" x14ac:dyDescent="0.2"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</row>
    <row r="187" spans="15:73" x14ac:dyDescent="0.2"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</row>
    <row r="188" spans="15:73" x14ac:dyDescent="0.2"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</row>
    <row r="189" spans="15:73" x14ac:dyDescent="0.2"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</row>
    <row r="190" spans="15:73" x14ac:dyDescent="0.2"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</row>
    <row r="191" spans="15:73" x14ac:dyDescent="0.2"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</row>
    <row r="192" spans="15:73" x14ac:dyDescent="0.2"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</row>
    <row r="193" spans="15:73" x14ac:dyDescent="0.2"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</row>
    <row r="194" spans="15:73" x14ac:dyDescent="0.2"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</row>
    <row r="195" spans="15:73" x14ac:dyDescent="0.2"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</row>
    <row r="196" spans="15:73" x14ac:dyDescent="0.2"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</row>
    <row r="197" spans="15:73" x14ac:dyDescent="0.2"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</row>
    <row r="198" spans="15:73" x14ac:dyDescent="0.2"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</row>
    <row r="199" spans="15:73" x14ac:dyDescent="0.2"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</row>
    <row r="200" spans="15:73" x14ac:dyDescent="0.2"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</row>
    <row r="201" spans="15:73" x14ac:dyDescent="0.2"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</row>
    <row r="202" spans="15:73" x14ac:dyDescent="0.2"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</row>
    <row r="203" spans="15:73" x14ac:dyDescent="0.2"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</row>
    <row r="204" spans="15:73" x14ac:dyDescent="0.2"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</row>
    <row r="205" spans="15:73" x14ac:dyDescent="0.2"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</row>
    <row r="206" spans="15:73" x14ac:dyDescent="0.2"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</row>
    <row r="207" spans="15:73" x14ac:dyDescent="0.2"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</row>
    <row r="208" spans="15:73" x14ac:dyDescent="0.2"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</row>
    <row r="209" spans="15:73" x14ac:dyDescent="0.2"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</row>
    <row r="210" spans="15:73" x14ac:dyDescent="0.2"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</row>
    <row r="211" spans="15:73" x14ac:dyDescent="0.2"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</row>
    <row r="212" spans="15:73" x14ac:dyDescent="0.2"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</row>
    <row r="213" spans="15:73" x14ac:dyDescent="0.2"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</row>
    <row r="214" spans="15:73" x14ac:dyDescent="0.2"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</row>
    <row r="215" spans="15:73" x14ac:dyDescent="0.2"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</row>
    <row r="216" spans="15:73" x14ac:dyDescent="0.2"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</row>
    <row r="217" spans="15:73" x14ac:dyDescent="0.2"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</row>
    <row r="218" spans="15:73" x14ac:dyDescent="0.2"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</row>
    <row r="219" spans="15:73" x14ac:dyDescent="0.2"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</row>
    <row r="220" spans="15:73" x14ac:dyDescent="0.2"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</row>
    <row r="221" spans="15:73" x14ac:dyDescent="0.2"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</row>
    <row r="222" spans="15:73" x14ac:dyDescent="0.2"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</row>
    <row r="223" spans="15:73" x14ac:dyDescent="0.2"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</row>
    <row r="224" spans="15:73" x14ac:dyDescent="0.2"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</row>
    <row r="225" spans="15:73" x14ac:dyDescent="0.2"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</row>
    <row r="226" spans="15:73" x14ac:dyDescent="0.2"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</row>
    <row r="227" spans="15:73" x14ac:dyDescent="0.2"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</row>
    <row r="228" spans="15:73" x14ac:dyDescent="0.2"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</row>
    <row r="229" spans="15:73" x14ac:dyDescent="0.2"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</row>
    <row r="230" spans="15:73" x14ac:dyDescent="0.2"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</row>
    <row r="231" spans="15:73" x14ac:dyDescent="0.2"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</row>
    <row r="232" spans="15:73" x14ac:dyDescent="0.2"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</row>
    <row r="233" spans="15:73" x14ac:dyDescent="0.2"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</row>
    <row r="234" spans="15:73" x14ac:dyDescent="0.2"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</row>
    <row r="235" spans="15:73" x14ac:dyDescent="0.2"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</row>
    <row r="236" spans="15:73" x14ac:dyDescent="0.2"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</row>
    <row r="237" spans="15:73" x14ac:dyDescent="0.2"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</row>
    <row r="238" spans="15:73" x14ac:dyDescent="0.2"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</row>
    <row r="239" spans="15:73" x14ac:dyDescent="0.2"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</row>
    <row r="240" spans="15:73" x14ac:dyDescent="0.2"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</row>
    <row r="241" spans="15:73" x14ac:dyDescent="0.2"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</row>
    <row r="242" spans="15:73" x14ac:dyDescent="0.2"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</row>
    <row r="243" spans="15:73" x14ac:dyDescent="0.2"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</row>
    <row r="244" spans="15:73" x14ac:dyDescent="0.2"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</row>
    <row r="245" spans="15:73" x14ac:dyDescent="0.2"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</row>
    <row r="246" spans="15:73" x14ac:dyDescent="0.2"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</row>
    <row r="247" spans="15:73" x14ac:dyDescent="0.2"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</row>
    <row r="248" spans="15:73" x14ac:dyDescent="0.2"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</row>
    <row r="249" spans="15:73" x14ac:dyDescent="0.2"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</row>
    <row r="250" spans="15:73" x14ac:dyDescent="0.2"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</row>
    <row r="251" spans="15:73" x14ac:dyDescent="0.2"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</row>
    <row r="252" spans="15:73" x14ac:dyDescent="0.2"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</row>
    <row r="253" spans="15:73" x14ac:dyDescent="0.2"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</row>
    <row r="254" spans="15:73" x14ac:dyDescent="0.2"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</row>
    <row r="255" spans="15:73" x14ac:dyDescent="0.2"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</row>
    <row r="256" spans="15:73" x14ac:dyDescent="0.2"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</row>
    <row r="257" spans="15:73" x14ac:dyDescent="0.2"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</row>
    <row r="258" spans="15:73" x14ac:dyDescent="0.2"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</row>
    <row r="259" spans="15:73" x14ac:dyDescent="0.2"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</row>
    <row r="260" spans="15:73" x14ac:dyDescent="0.2"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</row>
    <row r="261" spans="15:73" x14ac:dyDescent="0.2"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</row>
    <row r="262" spans="15:73" x14ac:dyDescent="0.2"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</row>
    <row r="263" spans="15:73" x14ac:dyDescent="0.2"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</row>
    <row r="264" spans="15:73" x14ac:dyDescent="0.2"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</row>
    <row r="265" spans="15:73" x14ac:dyDescent="0.2"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</row>
    <row r="266" spans="15:73" x14ac:dyDescent="0.2"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</row>
    <row r="267" spans="15:73" x14ac:dyDescent="0.2"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</row>
    <row r="268" spans="15:73" x14ac:dyDescent="0.2"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</row>
    <row r="269" spans="15:73" x14ac:dyDescent="0.2"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</row>
    <row r="270" spans="15:73" x14ac:dyDescent="0.2"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</row>
    <row r="271" spans="15:73" x14ac:dyDescent="0.2"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</row>
    <row r="272" spans="15:73" x14ac:dyDescent="0.2"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</row>
    <row r="273" spans="15:73" x14ac:dyDescent="0.2"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</row>
    <row r="274" spans="15:73" x14ac:dyDescent="0.2"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</row>
    <row r="275" spans="15:73" x14ac:dyDescent="0.2"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</row>
    <row r="276" spans="15:73" x14ac:dyDescent="0.2"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</row>
    <row r="277" spans="15:73" x14ac:dyDescent="0.2"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</row>
    <row r="278" spans="15:73" x14ac:dyDescent="0.2"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</row>
    <row r="279" spans="15:73" x14ac:dyDescent="0.2"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</row>
    <row r="280" spans="15:73" x14ac:dyDescent="0.2"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</row>
    <row r="281" spans="15:73" x14ac:dyDescent="0.2"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</row>
    <row r="282" spans="15:73" x14ac:dyDescent="0.2"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</row>
    <row r="283" spans="15:73" x14ac:dyDescent="0.2"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</row>
    <row r="284" spans="15:73" x14ac:dyDescent="0.2"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</row>
    <row r="285" spans="15:73" x14ac:dyDescent="0.2"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</row>
    <row r="286" spans="15:73" x14ac:dyDescent="0.2"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</row>
    <row r="287" spans="15:73" x14ac:dyDescent="0.2"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</row>
    <row r="288" spans="15:73" x14ac:dyDescent="0.2"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</row>
    <row r="289" spans="15:73" x14ac:dyDescent="0.2"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</row>
    <row r="290" spans="15:73" x14ac:dyDescent="0.2"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</row>
    <row r="291" spans="15:73" x14ac:dyDescent="0.2"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</row>
    <row r="292" spans="15:73" x14ac:dyDescent="0.2"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</row>
    <row r="293" spans="15:73" x14ac:dyDescent="0.2"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</row>
    <row r="294" spans="15:73" x14ac:dyDescent="0.2"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</row>
    <row r="295" spans="15:73" x14ac:dyDescent="0.2"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</row>
    <row r="296" spans="15:73" x14ac:dyDescent="0.2"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</row>
    <row r="297" spans="15:73" x14ac:dyDescent="0.2"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</row>
    <row r="298" spans="15:73" x14ac:dyDescent="0.2"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</row>
    <row r="299" spans="15:73" x14ac:dyDescent="0.2"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</row>
    <row r="300" spans="15:73" x14ac:dyDescent="0.2"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</row>
    <row r="301" spans="15:73" x14ac:dyDescent="0.2"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</row>
    <row r="302" spans="15:73" x14ac:dyDescent="0.2"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</row>
    <row r="303" spans="15:73" x14ac:dyDescent="0.2"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</row>
    <row r="304" spans="15:73" x14ac:dyDescent="0.2"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</row>
    <row r="305" spans="15:73" x14ac:dyDescent="0.2"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</row>
    <row r="306" spans="15:73" x14ac:dyDescent="0.2"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</row>
    <row r="307" spans="15:73" x14ac:dyDescent="0.2"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</row>
    <row r="308" spans="15:73" x14ac:dyDescent="0.2"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</row>
    <row r="309" spans="15:73" x14ac:dyDescent="0.2"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</row>
    <row r="310" spans="15:73" x14ac:dyDescent="0.2"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</row>
    <row r="311" spans="15:73" x14ac:dyDescent="0.2"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</row>
    <row r="312" spans="15:73" x14ac:dyDescent="0.2"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</row>
    <row r="313" spans="15:73" x14ac:dyDescent="0.2"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</row>
    <row r="314" spans="15:73" x14ac:dyDescent="0.2"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</row>
    <row r="315" spans="15:73" x14ac:dyDescent="0.2"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</row>
    <row r="316" spans="15:73" x14ac:dyDescent="0.2"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</row>
    <row r="317" spans="15:73" x14ac:dyDescent="0.2"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</row>
    <row r="318" spans="15:73" x14ac:dyDescent="0.2"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</row>
    <row r="319" spans="15:73" x14ac:dyDescent="0.2"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</row>
    <row r="320" spans="15:73" x14ac:dyDescent="0.2"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</row>
    <row r="321" spans="15:73" x14ac:dyDescent="0.2"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</row>
    <row r="322" spans="15:73" x14ac:dyDescent="0.2"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</row>
    <row r="323" spans="15:73" x14ac:dyDescent="0.2"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</row>
    <row r="324" spans="15:73" x14ac:dyDescent="0.2"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</row>
    <row r="325" spans="15:73" x14ac:dyDescent="0.2"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</row>
    <row r="326" spans="15:73" x14ac:dyDescent="0.2"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</row>
    <row r="327" spans="15:73" x14ac:dyDescent="0.2"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</row>
    <row r="328" spans="15:73" x14ac:dyDescent="0.2"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</row>
    <row r="329" spans="15:73" x14ac:dyDescent="0.2"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</row>
    <row r="330" spans="15:73" x14ac:dyDescent="0.2"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</row>
    <row r="331" spans="15:73" x14ac:dyDescent="0.2"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</row>
    <row r="332" spans="15:73" x14ac:dyDescent="0.2"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</row>
    <row r="333" spans="15:73" x14ac:dyDescent="0.2"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</row>
    <row r="334" spans="15:73" x14ac:dyDescent="0.2"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</row>
    <row r="335" spans="15:73" x14ac:dyDescent="0.2"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</row>
    <row r="336" spans="15:73" x14ac:dyDescent="0.2"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</row>
    <row r="337" spans="15:73" x14ac:dyDescent="0.2"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</row>
    <row r="338" spans="15:73" x14ac:dyDescent="0.2"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</row>
    <row r="339" spans="15:73" x14ac:dyDescent="0.2"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</row>
    <row r="340" spans="15:73" x14ac:dyDescent="0.2"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</row>
    <row r="341" spans="15:73" x14ac:dyDescent="0.2"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</row>
    <row r="342" spans="15:73" x14ac:dyDescent="0.2"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</row>
    <row r="343" spans="15:73" x14ac:dyDescent="0.2"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</row>
    <row r="344" spans="15:73" x14ac:dyDescent="0.2"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</row>
    <row r="345" spans="15:73" x14ac:dyDescent="0.2"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</row>
    <row r="346" spans="15:73" x14ac:dyDescent="0.2"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</row>
    <row r="347" spans="15:73" x14ac:dyDescent="0.2"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</row>
    <row r="348" spans="15:73" x14ac:dyDescent="0.2"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</row>
    <row r="349" spans="15:73" x14ac:dyDescent="0.2"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</row>
    <row r="350" spans="15:73" x14ac:dyDescent="0.2"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</row>
    <row r="351" spans="15:73" x14ac:dyDescent="0.2"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</row>
    <row r="352" spans="15:73" x14ac:dyDescent="0.2"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</row>
    <row r="353" spans="15:73" x14ac:dyDescent="0.2"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</row>
    <row r="354" spans="15:73" x14ac:dyDescent="0.2"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</row>
    <row r="355" spans="15:73" x14ac:dyDescent="0.2"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</row>
    <row r="356" spans="15:73" x14ac:dyDescent="0.2"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</row>
    <row r="357" spans="15:73" x14ac:dyDescent="0.2"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</row>
    <row r="358" spans="15:73" x14ac:dyDescent="0.2"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</row>
    <row r="359" spans="15:73" x14ac:dyDescent="0.2"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</row>
    <row r="360" spans="15:73" x14ac:dyDescent="0.2"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</row>
    <row r="361" spans="15:73" x14ac:dyDescent="0.2"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</row>
    <row r="362" spans="15:73" x14ac:dyDescent="0.2"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</row>
    <row r="363" spans="15:73" x14ac:dyDescent="0.2"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</row>
    <row r="364" spans="15:73" x14ac:dyDescent="0.2"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</row>
    <row r="365" spans="15:73" x14ac:dyDescent="0.2"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</row>
    <row r="366" spans="15:73" x14ac:dyDescent="0.2"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</row>
    <row r="367" spans="15:73" x14ac:dyDescent="0.2"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</row>
    <row r="368" spans="15:73" x14ac:dyDescent="0.2"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</row>
    <row r="369" spans="15:73" x14ac:dyDescent="0.2"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</row>
    <row r="370" spans="15:73" x14ac:dyDescent="0.2"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</row>
    <row r="371" spans="15:73" x14ac:dyDescent="0.2"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</row>
    <row r="372" spans="15:73" x14ac:dyDescent="0.2"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</row>
    <row r="373" spans="15:73" x14ac:dyDescent="0.2"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</row>
    <row r="374" spans="15:73" x14ac:dyDescent="0.2"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</row>
    <row r="375" spans="15:73" x14ac:dyDescent="0.2"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</row>
    <row r="376" spans="15:73" x14ac:dyDescent="0.2"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</row>
    <row r="377" spans="15:73" x14ac:dyDescent="0.2"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</row>
    <row r="378" spans="15:73" x14ac:dyDescent="0.2"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</row>
    <row r="379" spans="15:73" x14ac:dyDescent="0.2"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</row>
    <row r="380" spans="15:73" x14ac:dyDescent="0.2"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</row>
    <row r="381" spans="15:73" x14ac:dyDescent="0.2"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</row>
    <row r="382" spans="15:73" x14ac:dyDescent="0.2"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</row>
    <row r="383" spans="15:73" x14ac:dyDescent="0.2"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</row>
    <row r="384" spans="15:73" x14ac:dyDescent="0.2"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</row>
    <row r="385" spans="15:73" x14ac:dyDescent="0.2"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</row>
    <row r="386" spans="15:73" x14ac:dyDescent="0.2"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</row>
    <row r="387" spans="15:73" x14ac:dyDescent="0.2"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</row>
    <row r="388" spans="15:73" x14ac:dyDescent="0.2"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</row>
    <row r="389" spans="15:73" x14ac:dyDescent="0.2"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</row>
    <row r="390" spans="15:73" x14ac:dyDescent="0.2"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</row>
    <row r="391" spans="15:73" x14ac:dyDescent="0.2"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</row>
    <row r="392" spans="15:73" x14ac:dyDescent="0.2"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</row>
    <row r="393" spans="15:73" x14ac:dyDescent="0.2"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</row>
    <row r="394" spans="15:73" x14ac:dyDescent="0.2"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</row>
    <row r="395" spans="15:73" x14ac:dyDescent="0.2"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</row>
    <row r="396" spans="15:73" x14ac:dyDescent="0.2"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</row>
    <row r="397" spans="15:73" x14ac:dyDescent="0.2"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</row>
    <row r="398" spans="15:73" x14ac:dyDescent="0.2"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</row>
    <row r="399" spans="15:73" x14ac:dyDescent="0.2"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</row>
    <row r="400" spans="15:73" x14ac:dyDescent="0.2"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</row>
    <row r="401" spans="15:73" x14ac:dyDescent="0.2"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</row>
    <row r="402" spans="15:73" x14ac:dyDescent="0.2"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</row>
    <row r="403" spans="15:73" x14ac:dyDescent="0.2"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</row>
    <row r="404" spans="15:73" x14ac:dyDescent="0.2"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</row>
    <row r="405" spans="15:73" x14ac:dyDescent="0.2"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</row>
    <row r="406" spans="15:73" x14ac:dyDescent="0.2"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</row>
    <row r="407" spans="15:73" x14ac:dyDescent="0.2"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</row>
    <row r="408" spans="15:73" x14ac:dyDescent="0.2"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</row>
    <row r="409" spans="15:73" x14ac:dyDescent="0.2"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</row>
    <row r="410" spans="15:73" x14ac:dyDescent="0.2"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</row>
    <row r="411" spans="15:73" x14ac:dyDescent="0.2"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</row>
    <row r="412" spans="15:73" x14ac:dyDescent="0.2"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</row>
    <row r="413" spans="15:73" x14ac:dyDescent="0.2"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</row>
    <row r="414" spans="15:73" x14ac:dyDescent="0.2"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</row>
    <row r="415" spans="15:73" x14ac:dyDescent="0.2"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</row>
    <row r="416" spans="15:73" x14ac:dyDescent="0.2"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</row>
    <row r="417" spans="15:73" x14ac:dyDescent="0.2"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</row>
    <row r="418" spans="15:73" x14ac:dyDescent="0.2"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</row>
    <row r="419" spans="15:73" x14ac:dyDescent="0.2"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</row>
    <row r="420" spans="15:73" x14ac:dyDescent="0.2"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</row>
    <row r="421" spans="15:73" x14ac:dyDescent="0.2"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</row>
    <row r="422" spans="15:73" x14ac:dyDescent="0.2"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</row>
    <row r="423" spans="15:73" x14ac:dyDescent="0.2"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</row>
    <row r="424" spans="15:73" x14ac:dyDescent="0.2"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</row>
    <row r="425" spans="15:73" x14ac:dyDescent="0.2"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</row>
    <row r="426" spans="15:73" x14ac:dyDescent="0.2"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</row>
    <row r="427" spans="15:73" x14ac:dyDescent="0.2"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</row>
    <row r="428" spans="15:73" x14ac:dyDescent="0.2"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</row>
    <row r="429" spans="15:73" x14ac:dyDescent="0.2"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</row>
    <row r="430" spans="15:73" x14ac:dyDescent="0.2"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</row>
    <row r="431" spans="15:73" x14ac:dyDescent="0.2"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</row>
    <row r="432" spans="15:73" x14ac:dyDescent="0.2"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</row>
    <row r="433" spans="15:73" x14ac:dyDescent="0.2"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</row>
    <row r="434" spans="15:73" x14ac:dyDescent="0.2"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</row>
    <row r="435" spans="15:73" x14ac:dyDescent="0.2"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</row>
    <row r="436" spans="15:73" x14ac:dyDescent="0.2"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</row>
    <row r="437" spans="15:73" x14ac:dyDescent="0.2"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</row>
    <row r="438" spans="15:73" x14ac:dyDescent="0.2"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</row>
    <row r="439" spans="15:73" x14ac:dyDescent="0.2"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</row>
    <row r="440" spans="15:73" x14ac:dyDescent="0.2"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1"/>
      <c r="BQ440" s="161"/>
      <c r="BR440" s="161"/>
      <c r="BS440" s="161"/>
      <c r="BT440" s="161"/>
      <c r="BU440" s="161"/>
    </row>
    <row r="441" spans="15:73" x14ac:dyDescent="0.2"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</row>
    <row r="442" spans="15:73" x14ac:dyDescent="0.2"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</row>
    <row r="443" spans="15:73" x14ac:dyDescent="0.2"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</row>
    <row r="444" spans="15:73" x14ac:dyDescent="0.2"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</row>
    <row r="445" spans="15:73" x14ac:dyDescent="0.2"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</row>
    <row r="446" spans="15:73" x14ac:dyDescent="0.2"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</row>
    <row r="447" spans="15:73" x14ac:dyDescent="0.2"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</row>
    <row r="448" spans="15:73" x14ac:dyDescent="0.2"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</row>
    <row r="449" spans="15:73" x14ac:dyDescent="0.2"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</row>
    <row r="450" spans="15:73" x14ac:dyDescent="0.2"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</row>
    <row r="451" spans="15:73" x14ac:dyDescent="0.2"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1"/>
      <c r="BQ451" s="161"/>
      <c r="BR451" s="161"/>
      <c r="BS451" s="161"/>
      <c r="BT451" s="161"/>
      <c r="BU451" s="161"/>
    </row>
    <row r="452" spans="15:73" x14ac:dyDescent="0.2"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1"/>
      <c r="BQ452" s="161"/>
      <c r="BR452" s="161"/>
      <c r="BS452" s="161"/>
      <c r="BT452" s="161"/>
      <c r="BU452" s="161"/>
    </row>
    <row r="453" spans="15:73" x14ac:dyDescent="0.2"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</row>
    <row r="454" spans="15:73" x14ac:dyDescent="0.2"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</row>
    <row r="455" spans="15:73" x14ac:dyDescent="0.2"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</row>
    <row r="456" spans="15:73" x14ac:dyDescent="0.2"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</row>
    <row r="457" spans="15:73" x14ac:dyDescent="0.2"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</row>
    <row r="458" spans="15:73" x14ac:dyDescent="0.2"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</row>
    <row r="459" spans="15:73" x14ac:dyDescent="0.2"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</row>
    <row r="460" spans="15:73" x14ac:dyDescent="0.2"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</row>
    <row r="461" spans="15:73" x14ac:dyDescent="0.2"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</row>
    <row r="462" spans="15:73" x14ac:dyDescent="0.2"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</row>
    <row r="463" spans="15:73" x14ac:dyDescent="0.2"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</row>
    <row r="464" spans="15:73" x14ac:dyDescent="0.2"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</row>
    <row r="465" spans="15:73" x14ac:dyDescent="0.2"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</row>
    <row r="466" spans="15:73" x14ac:dyDescent="0.2"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</row>
    <row r="467" spans="15:73" x14ac:dyDescent="0.2"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</row>
    <row r="468" spans="15:73" x14ac:dyDescent="0.2"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</row>
    <row r="469" spans="15:73" x14ac:dyDescent="0.2"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</row>
    <row r="470" spans="15:73" x14ac:dyDescent="0.2"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</row>
    <row r="471" spans="15:73" x14ac:dyDescent="0.2"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</row>
    <row r="472" spans="15:73" x14ac:dyDescent="0.2"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</row>
    <row r="473" spans="15:73" x14ac:dyDescent="0.2"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</row>
    <row r="474" spans="15:73" x14ac:dyDescent="0.2"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1"/>
      <c r="BQ474" s="161"/>
      <c r="BR474" s="161"/>
      <c r="BS474" s="161"/>
      <c r="BT474" s="161"/>
      <c r="BU474" s="161"/>
    </row>
    <row r="475" spans="15:73" x14ac:dyDescent="0.2"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</row>
    <row r="476" spans="15:73" x14ac:dyDescent="0.2"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</row>
    <row r="477" spans="15:73" x14ac:dyDescent="0.2"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</row>
    <row r="478" spans="15:73" x14ac:dyDescent="0.2"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</row>
    <row r="479" spans="15:73" x14ac:dyDescent="0.2"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</row>
    <row r="480" spans="15:73" x14ac:dyDescent="0.2"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</row>
    <row r="481" spans="15:73" x14ac:dyDescent="0.2"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</row>
    <row r="482" spans="15:73" x14ac:dyDescent="0.2"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</row>
    <row r="483" spans="15:73" x14ac:dyDescent="0.2"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</row>
    <row r="484" spans="15:73" x14ac:dyDescent="0.2"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</row>
    <row r="485" spans="15:73" x14ac:dyDescent="0.2"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</row>
    <row r="486" spans="15:73" x14ac:dyDescent="0.2"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</row>
    <row r="487" spans="15:73" x14ac:dyDescent="0.2"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</row>
    <row r="488" spans="15:73" x14ac:dyDescent="0.2"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</row>
    <row r="489" spans="15:73" x14ac:dyDescent="0.2"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</row>
    <row r="490" spans="15:73" x14ac:dyDescent="0.2"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</row>
    <row r="491" spans="15:73" x14ac:dyDescent="0.2"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</row>
    <row r="492" spans="15:73" x14ac:dyDescent="0.2"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</row>
    <row r="493" spans="15:73" x14ac:dyDescent="0.2"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</row>
    <row r="494" spans="15:73" x14ac:dyDescent="0.2"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</row>
    <row r="495" spans="15:73" x14ac:dyDescent="0.2"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</row>
    <row r="496" spans="15:73" x14ac:dyDescent="0.2"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</row>
    <row r="497" spans="15:73" x14ac:dyDescent="0.2"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</row>
    <row r="498" spans="15:73" x14ac:dyDescent="0.2"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</row>
    <row r="499" spans="15:73" x14ac:dyDescent="0.2"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1"/>
      <c r="BQ499" s="161"/>
      <c r="BR499" s="161"/>
      <c r="BS499" s="161"/>
      <c r="BT499" s="161"/>
      <c r="BU499" s="161"/>
    </row>
    <row r="500" spans="15:73" x14ac:dyDescent="0.2"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</row>
    <row r="501" spans="15:73" x14ac:dyDescent="0.2"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</row>
    <row r="502" spans="15:73" x14ac:dyDescent="0.2"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</row>
    <row r="503" spans="15:73" x14ac:dyDescent="0.2"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</row>
    <row r="504" spans="15:73" x14ac:dyDescent="0.2"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</row>
    <row r="505" spans="15:73" x14ac:dyDescent="0.2"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</row>
    <row r="506" spans="15:73" x14ac:dyDescent="0.2"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</row>
    <row r="507" spans="15:73" x14ac:dyDescent="0.2"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1"/>
      <c r="BQ507" s="161"/>
      <c r="BR507" s="161"/>
      <c r="BS507" s="161"/>
      <c r="BT507" s="161"/>
      <c r="BU507" s="161"/>
    </row>
    <row r="508" spans="15:73" x14ac:dyDescent="0.2"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</row>
    <row r="509" spans="15:73" x14ac:dyDescent="0.2"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</row>
    <row r="510" spans="15:73" x14ac:dyDescent="0.2"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</row>
    <row r="511" spans="15:73" x14ac:dyDescent="0.2"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</row>
    <row r="512" spans="15:73" x14ac:dyDescent="0.2"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</row>
    <row r="513" spans="15:73" x14ac:dyDescent="0.2"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</row>
    <row r="514" spans="15:73" x14ac:dyDescent="0.2"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</row>
    <row r="515" spans="15:73" x14ac:dyDescent="0.2"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</row>
    <row r="516" spans="15:73" x14ac:dyDescent="0.2"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</row>
    <row r="517" spans="15:73" x14ac:dyDescent="0.2"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1"/>
      <c r="BQ517" s="161"/>
      <c r="BR517" s="161"/>
      <c r="BS517" s="161"/>
      <c r="BT517" s="161"/>
      <c r="BU517" s="161"/>
    </row>
    <row r="518" spans="15:73" x14ac:dyDescent="0.2"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</row>
    <row r="519" spans="15:73" x14ac:dyDescent="0.2"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</row>
    <row r="520" spans="15:73" x14ac:dyDescent="0.2"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</row>
    <row r="521" spans="15:73" x14ac:dyDescent="0.2"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</row>
    <row r="522" spans="15:73" x14ac:dyDescent="0.2"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</row>
    <row r="523" spans="15:73" x14ac:dyDescent="0.2"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</row>
    <row r="524" spans="15:73" x14ac:dyDescent="0.2"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</row>
    <row r="525" spans="15:73" x14ac:dyDescent="0.2"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1"/>
      <c r="BQ525" s="161"/>
      <c r="BR525" s="161"/>
      <c r="BS525" s="161"/>
      <c r="BT525" s="161"/>
      <c r="BU525" s="161"/>
    </row>
    <row r="526" spans="15:73" x14ac:dyDescent="0.2"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</row>
    <row r="527" spans="15:73" x14ac:dyDescent="0.2"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</row>
    <row r="528" spans="15:73" x14ac:dyDescent="0.2"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</row>
    <row r="529" spans="15:73" x14ac:dyDescent="0.2"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</row>
    <row r="530" spans="15:73" x14ac:dyDescent="0.2"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</row>
    <row r="531" spans="15:73" x14ac:dyDescent="0.2"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</row>
    <row r="532" spans="15:73" x14ac:dyDescent="0.2"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</row>
    <row r="533" spans="15:73" x14ac:dyDescent="0.2"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</row>
  </sheetData>
  <dataConsolidate link="1"/>
  <phoneticPr fontId="12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33"/>
  <sheetViews>
    <sheetView showGridLines="0" zoomScale="70" zoomScaleNormal="70" workbookViewId="0"/>
  </sheetViews>
  <sheetFormatPr defaultColWidth="9.140625" defaultRowHeight="12.75" x14ac:dyDescent="0.2"/>
  <cols>
    <col min="1" max="1" width="16" style="18" customWidth="1"/>
    <col min="2" max="2" width="12.28515625" style="18" bestFit="1" customWidth="1"/>
    <col min="3" max="3" width="11.7109375" style="18" bestFit="1" customWidth="1"/>
    <col min="4" max="4" width="8.7109375" style="18" bestFit="1" customWidth="1"/>
    <col min="5" max="5" width="11.5703125" style="18" bestFit="1" customWidth="1"/>
    <col min="6" max="6" width="1.7109375" style="18" customWidth="1"/>
    <col min="7" max="9" width="11.5703125" style="18" bestFit="1" customWidth="1"/>
    <col min="10" max="10" width="10.7109375" style="18" customWidth="1"/>
    <col min="11" max="16384" width="9.140625" style="18"/>
  </cols>
  <sheetData>
    <row r="1" spans="1:10" ht="14.2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25" x14ac:dyDescent="0.2">
      <c r="A2" s="19"/>
      <c r="B2" s="162" t="s">
        <v>59</v>
      </c>
      <c r="C2" s="162"/>
      <c r="D2" s="162"/>
      <c r="E2" s="162"/>
      <c r="F2" s="23"/>
      <c r="G2" s="162" t="s">
        <v>60</v>
      </c>
      <c r="H2" s="162"/>
      <c r="I2" s="162"/>
      <c r="J2" s="19"/>
    </row>
    <row r="3" spans="1:10" ht="14.25" x14ac:dyDescent="0.2">
      <c r="A3" s="19" t="s">
        <v>16</v>
      </c>
      <c r="B3" s="21" t="s">
        <v>19</v>
      </c>
      <c r="C3" s="25"/>
      <c r="D3" s="25"/>
      <c r="E3" s="25"/>
      <c r="F3" s="25"/>
      <c r="G3" s="25"/>
      <c r="H3" s="25"/>
      <c r="I3" s="25"/>
      <c r="J3" s="21" t="s">
        <v>61</v>
      </c>
    </row>
    <row r="4" spans="1:10" ht="14.25" x14ac:dyDescent="0.2">
      <c r="A4" s="26" t="s">
        <v>62</v>
      </c>
      <c r="B4" s="28" t="s">
        <v>63</v>
      </c>
      <c r="C4" s="28" t="s">
        <v>25</v>
      </c>
      <c r="D4" s="28" t="s">
        <v>26</v>
      </c>
      <c r="E4" s="30" t="s">
        <v>64</v>
      </c>
      <c r="F4" s="29"/>
      <c r="G4" s="28" t="s">
        <v>65</v>
      </c>
      <c r="H4" s="28" t="s">
        <v>66</v>
      </c>
      <c r="I4" s="28" t="s">
        <v>64</v>
      </c>
      <c r="J4" s="28" t="s">
        <v>67</v>
      </c>
    </row>
    <row r="5" spans="1:10" ht="14.25" x14ac:dyDescent="0.2">
      <c r="A5" s="19"/>
      <c r="B5" s="163" t="s">
        <v>68</v>
      </c>
      <c r="C5" s="163"/>
      <c r="D5" s="163"/>
      <c r="E5" s="163"/>
      <c r="F5" s="163"/>
      <c r="G5" s="163"/>
      <c r="H5" s="163"/>
      <c r="I5" s="163"/>
      <c r="J5" s="163"/>
    </row>
    <row r="6" spans="1:10" ht="14.25" x14ac:dyDescent="0.2">
      <c r="A6" s="19" t="s">
        <v>33</v>
      </c>
      <c r="B6" s="52">
        <v>402.01499999999999</v>
      </c>
      <c r="C6" s="53">
        <v>51100.43</v>
      </c>
      <c r="D6" s="53">
        <v>639.45289700599983</v>
      </c>
      <c r="E6" s="37">
        <v>52141.897897005998</v>
      </c>
      <c r="F6" s="53"/>
      <c r="G6" s="53">
        <v>37966.877728954991</v>
      </c>
      <c r="H6" s="53">
        <v>13833.684168051001</v>
      </c>
      <c r="I6" s="53">
        <v>51800.561897005995</v>
      </c>
      <c r="J6" s="53">
        <v>341.33600000000001</v>
      </c>
    </row>
    <row r="7" spans="1:10" ht="16.5" x14ac:dyDescent="0.2">
      <c r="A7" s="19" t="s">
        <v>34</v>
      </c>
      <c r="B7" s="52">
        <f>J6</f>
        <v>341.33600000000001</v>
      </c>
      <c r="C7" s="53">
        <f>C23</f>
        <v>50564.714999999989</v>
      </c>
      <c r="D7" s="53">
        <f>D23</f>
        <v>782.87279764099992</v>
      </c>
      <c r="E7" s="37">
        <f>E23</f>
        <v>51688.923797640993</v>
      </c>
      <c r="F7" s="53"/>
      <c r="G7" s="53">
        <f>G23</f>
        <v>37580.430300251006</v>
      </c>
      <c r="H7" s="53">
        <f>H23</f>
        <v>13767.707497390002</v>
      </c>
      <c r="I7" s="53">
        <f>I23</f>
        <v>51348.137797641</v>
      </c>
      <c r="J7" s="53">
        <f>J22</f>
        <v>340.786</v>
      </c>
    </row>
    <row r="8" spans="1:10" ht="16.5" x14ac:dyDescent="0.2">
      <c r="A8" s="19" t="s">
        <v>35</v>
      </c>
      <c r="B8" s="52">
        <f>J7</f>
        <v>340.786</v>
      </c>
      <c r="C8" s="53">
        <v>51709.214</v>
      </c>
      <c r="D8" s="53">
        <v>450</v>
      </c>
      <c r="E8" s="37">
        <f>SUM(B8:D8)</f>
        <v>52500</v>
      </c>
      <c r="F8" s="53"/>
      <c r="G8" s="53">
        <f>I8-H8</f>
        <v>37900</v>
      </c>
      <c r="H8" s="53">
        <v>14200</v>
      </c>
      <c r="I8" s="53">
        <f>E8-J8</f>
        <v>52100</v>
      </c>
      <c r="J8" s="53">
        <v>400</v>
      </c>
    </row>
    <row r="9" spans="1:10" ht="14.25" x14ac:dyDescent="0.2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0" ht="15" x14ac:dyDescent="0.25">
      <c r="A10" s="55" t="s">
        <v>37</v>
      </c>
      <c r="B10" s="56"/>
      <c r="C10" s="7"/>
      <c r="D10" s="7"/>
      <c r="E10" s="7"/>
      <c r="F10" s="7"/>
      <c r="G10" s="7"/>
      <c r="H10" s="7"/>
      <c r="I10" s="7"/>
      <c r="J10" s="7"/>
    </row>
    <row r="11" spans="1:10" ht="14.25" x14ac:dyDescent="0.2">
      <c r="A11" s="23" t="s">
        <v>39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</row>
    <row r="12" spans="1:10" ht="14.25" x14ac:dyDescent="0.2">
      <c r="A12" s="23" t="s">
        <v>40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</row>
    <row r="13" spans="1:10" ht="14.25" x14ac:dyDescent="0.2">
      <c r="A13" s="23" t="s">
        <v>42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</row>
    <row r="14" spans="1:10" ht="14.25" x14ac:dyDescent="0.2">
      <c r="A14" s="23" t="s">
        <v>43</v>
      </c>
      <c r="B14" s="56">
        <f t="shared" si="3"/>
        <v>359.39299999999997</v>
      </c>
      <c r="C14" s="7">
        <v>4665.652</v>
      </c>
      <c r="D14" s="7">
        <f>(62004.8*1.10231)/1000</f>
        <v>68.348511087999995</v>
      </c>
      <c r="E14" s="7">
        <f t="shared" si="0"/>
        <v>5093.3935110880002</v>
      </c>
      <c r="F14" s="6"/>
      <c r="G14" s="5">
        <f t="shared" si="1"/>
        <v>3080.2815676670002</v>
      </c>
      <c r="H14" s="7">
        <f>(1322049.1*1.10231)/1000</f>
        <v>1457.3079434209999</v>
      </c>
      <c r="I14" s="6">
        <f t="shared" si="2"/>
        <v>4537.5895110880001</v>
      </c>
      <c r="J14" s="6">
        <v>555.80399999999997</v>
      </c>
    </row>
    <row r="15" spans="1:10" ht="14.25" x14ac:dyDescent="0.2">
      <c r="A15" s="23" t="s">
        <v>44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</row>
    <row r="16" spans="1:10" ht="14.25" x14ac:dyDescent="0.2">
      <c r="A16" s="23" t="s">
        <v>46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</row>
    <row r="17" spans="1:10" ht="14.25" x14ac:dyDescent="0.2">
      <c r="A17" s="23" t="s">
        <v>47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</row>
    <row r="18" spans="1:10" ht="14.25" x14ac:dyDescent="0.2">
      <c r="A18" s="23" t="s">
        <v>48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</row>
    <row r="19" spans="1:10" ht="14.25" x14ac:dyDescent="0.2">
      <c r="A19" s="23" t="s">
        <v>50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</row>
    <row r="20" spans="1:10" ht="14.25" x14ac:dyDescent="0.2">
      <c r="A20" s="23" t="s">
        <v>51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</row>
    <row r="21" spans="1:10" ht="14.25" x14ac:dyDescent="0.2">
      <c r="A21" s="23" t="s">
        <v>52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</row>
    <row r="22" spans="1:10" ht="14.25" x14ac:dyDescent="0.2">
      <c r="A22" s="23" t="s">
        <v>38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</row>
    <row r="23" spans="1:10" ht="14.25" x14ac:dyDescent="0.2">
      <c r="A23" s="23" t="s">
        <v>27</v>
      </c>
      <c r="B23" s="56"/>
      <c r="C23" s="7">
        <f>SUM(C11:C22)</f>
        <v>50564.714999999989</v>
      </c>
      <c r="D23" s="7">
        <f>SUM(D11:D22)</f>
        <v>782.87279764099992</v>
      </c>
      <c r="E23" s="7">
        <f>B11+C23+D23</f>
        <v>51688.923797640993</v>
      </c>
      <c r="F23" s="7"/>
      <c r="G23" s="7">
        <f>SUM(G11:G22)</f>
        <v>37580.430300251006</v>
      </c>
      <c r="H23" s="7">
        <f>SUM(H11:H22)</f>
        <v>13767.707497390002</v>
      </c>
      <c r="I23" s="7">
        <f>SUM(I11:I22)</f>
        <v>51348.137797641</v>
      </c>
      <c r="J23" s="7"/>
    </row>
    <row r="24" spans="1:10" ht="14.25" x14ac:dyDescent="0.2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0" ht="15" x14ac:dyDescent="0.25">
      <c r="A25" s="55" t="s">
        <v>54</v>
      </c>
      <c r="B25" s="56"/>
      <c r="C25" s="7"/>
      <c r="D25" s="7"/>
      <c r="E25" s="7"/>
      <c r="F25" s="7"/>
      <c r="G25" s="7"/>
      <c r="H25" s="7"/>
      <c r="I25" s="7"/>
      <c r="J25" s="7"/>
    </row>
    <row r="26" spans="1:10" ht="14.25" x14ac:dyDescent="0.2">
      <c r="A26" s="17" t="s">
        <v>39</v>
      </c>
      <c r="B26" s="57">
        <f>J22</f>
        <v>340.786</v>
      </c>
      <c r="C26" s="48">
        <v>4591.6390000000001</v>
      </c>
      <c r="D26" s="48">
        <f>(56516.5*1.10231)/1000</f>
        <v>62.298703114999995</v>
      </c>
      <c r="E26" s="48">
        <f>SUM(B26:D26)</f>
        <v>4994.7237031149998</v>
      </c>
      <c r="F26" s="48"/>
      <c r="G26" s="48">
        <f t="shared" ref="G26" si="6">I26-H26</f>
        <v>3492.8933177700001</v>
      </c>
      <c r="H26" s="48">
        <f>(989149.5*1.10231)/1000</f>
        <v>1090.3493853449997</v>
      </c>
      <c r="I26" s="64">
        <f>E26-J26</f>
        <v>4583.242703115</v>
      </c>
      <c r="J26" s="48">
        <v>411.48099999999999</v>
      </c>
    </row>
    <row r="27" spans="1:10" ht="16.5" x14ac:dyDescent="0.2">
      <c r="A27" s="58" t="s">
        <v>69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4.25" x14ac:dyDescent="0.2">
      <c r="A28" s="19" t="s">
        <v>70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4.25" x14ac:dyDescent="0.2">
      <c r="A29" s="25" t="s">
        <v>58</v>
      </c>
      <c r="B29" s="50">
        <f ca="1">NOW()</f>
        <v>44540.67973773148</v>
      </c>
      <c r="C29" s="44"/>
      <c r="D29" s="38"/>
      <c r="E29" s="38"/>
      <c r="F29" s="38"/>
      <c r="G29" s="38"/>
      <c r="H29" s="38"/>
      <c r="I29" s="38"/>
      <c r="J29" s="38"/>
    </row>
    <row r="30" spans="1:10" x14ac:dyDescent="0.2">
      <c r="A30" s="59"/>
      <c r="B30" s="60"/>
      <c r="C30" s="61"/>
      <c r="D30" s="60"/>
      <c r="E30" s="135"/>
      <c r="F30" s="60"/>
      <c r="G30" s="60"/>
      <c r="H30" s="62"/>
      <c r="I30" s="135"/>
      <c r="J30" s="60"/>
    </row>
    <row r="31" spans="1:10" x14ac:dyDescent="0.2">
      <c r="A31" s="59"/>
      <c r="B31" s="60"/>
      <c r="C31" s="60"/>
      <c r="D31" s="60"/>
      <c r="E31" s="60"/>
      <c r="F31" s="60"/>
      <c r="G31" s="60"/>
      <c r="H31" s="60"/>
      <c r="I31" s="60"/>
      <c r="J31" s="60"/>
    </row>
    <row r="32" spans="1:10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</row>
  </sheetData>
  <mergeCells count="3">
    <mergeCell ref="G2:I2"/>
    <mergeCell ref="B5:J5"/>
    <mergeCell ref="B2:E2"/>
  </mergeCells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0"/>
  <sheetViews>
    <sheetView showGridLines="0" zoomScale="70" zoomScaleNormal="70" workbookViewId="0"/>
  </sheetViews>
  <sheetFormatPr defaultColWidth="9.140625" defaultRowHeight="12.75" x14ac:dyDescent="0.2"/>
  <cols>
    <col min="1" max="1" width="15.42578125" style="18" customWidth="1"/>
    <col min="2" max="2" width="12.28515625" style="18" bestFit="1" customWidth="1"/>
    <col min="3" max="3" width="11.7109375" style="18" bestFit="1" customWidth="1"/>
    <col min="4" max="4" width="11" style="18" bestFit="1" customWidth="1"/>
    <col min="5" max="5" width="11.28515625" style="18" bestFit="1" customWidth="1"/>
    <col min="6" max="6" width="3.7109375" style="18" customWidth="1"/>
    <col min="7" max="7" width="11.5703125" style="18" bestFit="1" customWidth="1"/>
    <col min="8" max="8" width="10.7109375" style="18" customWidth="1"/>
    <col min="9" max="9" width="12.7109375" style="18" customWidth="1"/>
    <col min="10" max="10" width="10.28515625" style="18" bestFit="1" customWidth="1"/>
    <col min="11" max="11" width="11.5703125" style="18" bestFit="1" customWidth="1"/>
    <col min="12" max="12" width="10.28515625" style="18" bestFit="1" customWidth="1"/>
    <col min="13" max="16384" width="9.140625" style="18"/>
  </cols>
  <sheetData>
    <row r="1" spans="1:13" ht="14.25" x14ac:dyDescent="0.2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4.25" x14ac:dyDescent="0.2">
      <c r="A2" s="19"/>
      <c r="B2" s="162" t="s">
        <v>59</v>
      </c>
      <c r="C2" s="162"/>
      <c r="D2" s="162"/>
      <c r="E2" s="162"/>
      <c r="F2" s="23"/>
      <c r="G2" s="162" t="s">
        <v>60</v>
      </c>
      <c r="H2" s="162"/>
      <c r="I2" s="162"/>
      <c r="J2" s="156"/>
      <c r="K2" s="156"/>
      <c r="L2" s="19"/>
    </row>
    <row r="3" spans="1:13" ht="14.25" x14ac:dyDescent="0.2">
      <c r="A3" s="19" t="s">
        <v>16</v>
      </c>
      <c r="B3" s="21" t="s">
        <v>71</v>
      </c>
      <c r="C3" s="40" t="s">
        <v>25</v>
      </c>
      <c r="D3" s="40" t="s">
        <v>72</v>
      </c>
      <c r="E3" s="40" t="s">
        <v>64</v>
      </c>
      <c r="F3" s="40"/>
      <c r="G3" s="156" t="s">
        <v>65</v>
      </c>
      <c r="H3" s="156"/>
      <c r="I3" s="156"/>
      <c r="J3" s="40" t="s">
        <v>73</v>
      </c>
      <c r="K3" s="40" t="s">
        <v>64</v>
      </c>
      <c r="L3" s="40" t="s">
        <v>61</v>
      </c>
    </row>
    <row r="4" spans="1:13" ht="16.5" x14ac:dyDescent="0.2">
      <c r="A4" s="26" t="s">
        <v>62</v>
      </c>
      <c r="B4" s="28" t="s">
        <v>63</v>
      </c>
      <c r="C4" s="29"/>
      <c r="D4" s="29"/>
      <c r="E4" s="29"/>
      <c r="F4" s="29"/>
      <c r="G4" s="28" t="s">
        <v>27</v>
      </c>
      <c r="H4" s="28" t="s">
        <v>74</v>
      </c>
      <c r="I4" s="28" t="s">
        <v>75</v>
      </c>
      <c r="J4" s="29"/>
      <c r="K4" s="29"/>
      <c r="L4" s="40" t="s">
        <v>67</v>
      </c>
    </row>
    <row r="5" spans="1:13" ht="14.25" x14ac:dyDescent="0.2">
      <c r="A5" s="19"/>
      <c r="B5" s="164" t="s">
        <v>76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ht="14.25" x14ac:dyDescent="0.2">
      <c r="A6" s="19" t="s">
        <v>33</v>
      </c>
      <c r="B6" s="54">
        <v>1775.316</v>
      </c>
      <c r="C6" s="54">
        <v>24911.120999999996</v>
      </c>
      <c r="D6" s="54">
        <v>319.88668388040003</v>
      </c>
      <c r="E6" s="54">
        <v>27006.323683880393</v>
      </c>
      <c r="F6" s="54"/>
      <c r="G6" s="54">
        <v>22316.958470009602</v>
      </c>
      <c r="H6" s="54">
        <v>8657.8000000000011</v>
      </c>
      <c r="I6" s="37">
        <v>13659.158470009601</v>
      </c>
      <c r="J6" s="54">
        <v>2836.6902138707997</v>
      </c>
      <c r="K6" s="54">
        <v>25153.648683880405</v>
      </c>
      <c r="L6" s="54">
        <v>1852.675</v>
      </c>
      <c r="M6" s="124"/>
    </row>
    <row r="7" spans="1:13" ht="16.5" x14ac:dyDescent="0.2">
      <c r="A7" s="19" t="s">
        <v>34</v>
      </c>
      <c r="B7" s="54">
        <f>L6</f>
        <v>1852.675</v>
      </c>
      <c r="C7" s="54">
        <f>C23</f>
        <v>25022.667000000001</v>
      </c>
      <c r="D7" s="54">
        <f>D23</f>
        <v>301.9644297936</v>
      </c>
      <c r="E7" s="54">
        <f>E23</f>
        <v>27177.3064297936</v>
      </c>
      <c r="F7" s="54"/>
      <c r="G7" s="54">
        <f>G23</f>
        <v>23322.575127803797</v>
      </c>
      <c r="H7" s="54">
        <f t="shared" ref="H7:J7" si="0">H23</f>
        <v>8849.5114432999999</v>
      </c>
      <c r="I7" s="37">
        <f t="shared" si="0"/>
        <v>14473.063684503799</v>
      </c>
      <c r="J7" s="54">
        <f t="shared" si="0"/>
        <v>1723.4983019897998</v>
      </c>
      <c r="K7" s="54">
        <f>E7-L7</f>
        <v>25046.0734297936</v>
      </c>
      <c r="L7" s="54">
        <f>L22</f>
        <v>2131.2330000000002</v>
      </c>
      <c r="M7" s="122"/>
    </row>
    <row r="8" spans="1:13" ht="16.5" x14ac:dyDescent="0.2">
      <c r="A8" s="19" t="s">
        <v>35</v>
      </c>
      <c r="B8" s="54">
        <f>L7</f>
        <v>2131.2330000000002</v>
      </c>
      <c r="C8" s="54">
        <v>25735</v>
      </c>
      <c r="D8" s="54">
        <v>450</v>
      </c>
      <c r="E8" s="54">
        <f>SUM(B8:D8)</f>
        <v>28316.233</v>
      </c>
      <c r="F8" s="54"/>
      <c r="G8" s="54">
        <f>K8-J8</f>
        <v>25150</v>
      </c>
      <c r="H8" s="54">
        <v>11000</v>
      </c>
      <c r="I8" s="37">
        <f>G8-H8</f>
        <v>14150</v>
      </c>
      <c r="J8" s="54">
        <v>1250</v>
      </c>
      <c r="K8" s="54">
        <f>E8-L8</f>
        <v>26400</v>
      </c>
      <c r="L8" s="54">
        <v>1916.2330000000002</v>
      </c>
    </row>
    <row r="9" spans="1:13" ht="14.25" x14ac:dyDescent="0.2">
      <c r="A9" s="19"/>
      <c r="B9" s="54"/>
      <c r="C9" s="54"/>
      <c r="D9" s="54"/>
      <c r="E9" s="54"/>
      <c r="F9" s="54"/>
      <c r="G9" s="54"/>
      <c r="H9" s="54"/>
      <c r="I9" s="123"/>
      <c r="J9" s="54"/>
      <c r="K9" s="54"/>
      <c r="L9" s="54"/>
    </row>
    <row r="10" spans="1:13" ht="15" x14ac:dyDescent="0.25">
      <c r="A10" s="41" t="s">
        <v>37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4.25" x14ac:dyDescent="0.2">
      <c r="A11" s="23" t="s">
        <v>39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4.25" x14ac:dyDescent="0.2">
      <c r="A12" s="23" t="s">
        <v>40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4.25" x14ac:dyDescent="0.2">
      <c r="A13" s="23" t="s">
        <v>42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4.25" x14ac:dyDescent="0.2">
      <c r="A14" s="23" t="s">
        <v>43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4.25" x14ac:dyDescent="0.2">
      <c r="A15" s="23" t="s">
        <v>44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4.25" x14ac:dyDescent="0.2">
      <c r="A16" s="23" t="s">
        <v>46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4.25" x14ac:dyDescent="0.2">
      <c r="A17" s="23" t="s">
        <v>47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4.25" x14ac:dyDescent="0.2">
      <c r="A18" s="23" t="s">
        <v>48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4.25" x14ac:dyDescent="0.2">
      <c r="A19" s="23" t="s">
        <v>50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4.25" x14ac:dyDescent="0.2">
      <c r="A20" s="23" t="s">
        <v>51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4.25" x14ac:dyDescent="0.2">
      <c r="A21" s="23" t="s">
        <v>52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4.25" x14ac:dyDescent="0.2">
      <c r="A22" s="23" t="s">
        <v>38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4.25" x14ac:dyDescent="0.2">
      <c r="A23" s="23" t="s">
        <v>27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4.25" x14ac:dyDescent="0.2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5" x14ac:dyDescent="0.25">
      <c r="A25" s="41" t="s">
        <v>54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4.25" x14ac:dyDescent="0.2">
      <c r="A26" s="17" t="s">
        <v>39</v>
      </c>
      <c r="B26" s="64">
        <f>L22</f>
        <v>2131.2330000000002</v>
      </c>
      <c r="C26" s="48">
        <v>2347.58</v>
      </c>
      <c r="D26" s="48">
        <f>(15994.4*2204.622)/1000000</f>
        <v>35.261606116799996</v>
      </c>
      <c r="E26" s="48">
        <f t="shared" ref="E26" si="9">SUM(B26:D26)</f>
        <v>4514.0746061168002</v>
      </c>
      <c r="F26" s="64"/>
      <c r="G26" s="64">
        <f>K26-J26</f>
        <v>2070.5737418166</v>
      </c>
      <c r="H26" s="48" t="s">
        <v>77</v>
      </c>
      <c r="I26" s="48" t="s">
        <v>77</v>
      </c>
      <c r="J26" s="48">
        <f>(25929.1*2204.622)/1000000</f>
        <v>57.16386430019999</v>
      </c>
      <c r="K26" s="48">
        <f>E26-L26</f>
        <v>2127.7376061168002</v>
      </c>
      <c r="L26" s="64">
        <v>2386.337</v>
      </c>
    </row>
    <row r="27" spans="1:14" ht="16.5" x14ac:dyDescent="0.2">
      <c r="A27" s="58" t="s">
        <v>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4" ht="14.25" x14ac:dyDescent="0.2">
      <c r="A28" s="19" t="s">
        <v>70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4" ht="14.25" x14ac:dyDescent="0.2">
      <c r="A29" s="25" t="s">
        <v>58</v>
      </c>
      <c r="B29" s="50">
        <f ca="1">NOW()</f>
        <v>44540.67973773148</v>
      </c>
      <c r="K29" s="46"/>
    </row>
    <row r="30" spans="1:14" x14ac:dyDescent="0.2">
      <c r="E30" s="46"/>
    </row>
  </sheetData>
  <mergeCells count="3">
    <mergeCell ref="B5:L5"/>
    <mergeCell ref="G2:I2"/>
    <mergeCell ref="B2:E2"/>
  </mergeCells>
  <phoneticPr fontId="12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40625" defaultRowHeight="12.75" x14ac:dyDescent="0.2"/>
  <cols>
    <col min="1" max="1" width="15.28515625" style="18" customWidth="1"/>
    <col min="2" max="2" width="13.140625" style="18" customWidth="1"/>
    <col min="3" max="3" width="12.140625" style="18" customWidth="1"/>
    <col min="4" max="4" width="13.42578125" style="18" customWidth="1"/>
    <col min="5" max="5" width="15.28515625" style="18" customWidth="1"/>
    <col min="6" max="6" width="10.5703125" style="18" customWidth="1"/>
    <col min="7" max="7" width="11.7109375" style="18" customWidth="1"/>
    <col min="8" max="8" width="8.7109375" style="18" customWidth="1"/>
    <col min="9" max="9" width="9.7109375" style="18" customWidth="1"/>
    <col min="10" max="11" width="7.7109375" style="18" customWidth="1"/>
    <col min="12" max="12" width="8.5703125" style="18" customWidth="1"/>
    <col min="13" max="13" width="9.5703125" style="18" customWidth="1"/>
    <col min="14" max="15" width="7.5703125" style="18" customWidth="1"/>
    <col min="16" max="18" width="9.140625" style="18"/>
    <col min="19" max="19" width="17.42578125" style="18" bestFit="1" customWidth="1"/>
    <col min="20" max="20" width="9.140625" style="18"/>
    <col min="21" max="21" width="28.28515625" style="18" bestFit="1" customWidth="1"/>
    <col min="22" max="16384" width="9.140625" style="18"/>
  </cols>
  <sheetData>
    <row r="1" spans="1:15" ht="14.25" x14ac:dyDescent="0.2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4.25" x14ac:dyDescent="0.2">
      <c r="A2" s="19"/>
      <c r="B2" s="162" t="s">
        <v>59</v>
      </c>
      <c r="C2" s="162"/>
      <c r="D2" s="162"/>
      <c r="E2" s="162"/>
      <c r="F2" s="100"/>
      <c r="G2" s="162" t="s">
        <v>60</v>
      </c>
      <c r="H2" s="162"/>
      <c r="I2" s="162"/>
      <c r="J2" s="162"/>
      <c r="K2" s="100"/>
      <c r="L2" s="19"/>
      <c r="M2" s="19"/>
      <c r="N2" s="19"/>
      <c r="O2" s="19"/>
    </row>
    <row r="3" spans="1:15" ht="14.25" x14ac:dyDescent="0.2">
      <c r="A3" s="19" t="s">
        <v>16</v>
      </c>
      <c r="B3" s="25" t="s">
        <v>71</v>
      </c>
      <c r="C3" s="25"/>
      <c r="D3" s="25"/>
      <c r="E3" s="25"/>
      <c r="F3" s="101"/>
      <c r="G3" s="25"/>
      <c r="H3" s="25"/>
      <c r="I3" s="25"/>
      <c r="J3" s="25"/>
      <c r="K3" s="21" t="s">
        <v>61</v>
      </c>
      <c r="L3" s="19"/>
      <c r="M3" s="19"/>
      <c r="N3" s="19"/>
      <c r="O3" s="19"/>
    </row>
    <row r="4" spans="1:15" ht="14.25" x14ac:dyDescent="0.2">
      <c r="A4" s="26" t="s">
        <v>79</v>
      </c>
      <c r="B4" s="28" t="s">
        <v>80</v>
      </c>
      <c r="C4" s="78" t="s">
        <v>25</v>
      </c>
      <c r="D4" s="30" t="s">
        <v>72</v>
      </c>
      <c r="E4" s="28" t="s">
        <v>81</v>
      </c>
      <c r="F4" s="29"/>
      <c r="G4" s="28" t="s">
        <v>82</v>
      </c>
      <c r="H4" s="28" t="s">
        <v>29</v>
      </c>
      <c r="I4" s="28" t="s">
        <v>83</v>
      </c>
      <c r="J4" s="28" t="s">
        <v>84</v>
      </c>
      <c r="K4" s="28" t="s">
        <v>63</v>
      </c>
      <c r="L4" s="19"/>
      <c r="M4" s="19"/>
      <c r="N4" s="19"/>
      <c r="O4" s="19"/>
    </row>
    <row r="5" spans="1:15" ht="14.25" x14ac:dyDescent="0.2">
      <c r="A5" s="19"/>
      <c r="B5" s="167" t="s">
        <v>85</v>
      </c>
      <c r="C5" s="167"/>
      <c r="D5" s="167"/>
      <c r="E5" s="167"/>
      <c r="F5" s="167"/>
      <c r="G5" s="167"/>
      <c r="H5" s="167"/>
      <c r="I5" s="167"/>
      <c r="J5" s="167"/>
      <c r="K5" s="167"/>
      <c r="L5" s="19"/>
      <c r="M5" s="19"/>
      <c r="N5" s="19"/>
      <c r="O5" s="19"/>
    </row>
    <row r="6" spans="1:15" ht="14.25" x14ac:dyDescent="0.2">
      <c r="A6" s="19" t="s">
        <v>33</v>
      </c>
      <c r="B6" s="102">
        <v>476.97603460691334</v>
      </c>
      <c r="C6" s="102">
        <v>5945</v>
      </c>
      <c r="D6" s="103">
        <v>1.0880000000000001</v>
      </c>
      <c r="E6" s="102">
        <v>6423.0879999999997</v>
      </c>
      <c r="F6" s="104"/>
      <c r="G6" s="102">
        <v>1712.0099999999998</v>
      </c>
      <c r="H6" s="105">
        <v>340.64748459156186</v>
      </c>
      <c r="I6" s="102">
        <v>3914.4029999999993</v>
      </c>
      <c r="J6" s="106">
        <f>E6-K6</f>
        <v>5967.0811380282848</v>
      </c>
      <c r="K6" s="102">
        <v>456.0068619717149</v>
      </c>
      <c r="L6" s="19"/>
      <c r="M6" s="19"/>
      <c r="N6" s="19"/>
      <c r="O6" s="19"/>
    </row>
    <row r="7" spans="1:15" ht="16.5" x14ac:dyDescent="0.2">
      <c r="A7" s="23" t="s">
        <v>34</v>
      </c>
      <c r="B7" s="106">
        <f>K6</f>
        <v>456.0068619717149</v>
      </c>
      <c r="C7" s="106">
        <v>4509</v>
      </c>
      <c r="D7" s="107">
        <v>1</v>
      </c>
      <c r="E7" s="106">
        <f>B7+C7+D7</f>
        <v>4966.0068619717149</v>
      </c>
      <c r="F7" s="108"/>
      <c r="G7" s="106">
        <v>1562.7429999999999</v>
      </c>
      <c r="H7" s="109">
        <v>282.68453874670092</v>
      </c>
      <c r="I7" s="106">
        <f>J7-G7-H7</f>
        <v>2762.0677753251334</v>
      </c>
      <c r="J7" s="106">
        <f>E7-K7</f>
        <v>4607.4953140718344</v>
      </c>
      <c r="K7" s="106">
        <v>358.5115478998805</v>
      </c>
      <c r="L7" s="19"/>
      <c r="M7" s="19"/>
      <c r="N7" s="19"/>
      <c r="O7" s="19"/>
    </row>
    <row r="8" spans="1:15" ht="16.5" x14ac:dyDescent="0.2">
      <c r="A8" s="17" t="s">
        <v>35</v>
      </c>
      <c r="B8" s="110">
        <f>K7</f>
        <v>358.5115478998805</v>
      </c>
      <c r="C8" s="110">
        <v>5576</v>
      </c>
      <c r="D8" s="111">
        <v>30</v>
      </c>
      <c r="E8" s="110">
        <f>B8+C8+D8</f>
        <v>5964.5115478998805</v>
      </c>
      <c r="F8" s="112"/>
      <c r="G8" s="110">
        <v>1675</v>
      </c>
      <c r="H8" s="113">
        <v>250</v>
      </c>
      <c r="I8" s="110">
        <v>3621.6</v>
      </c>
      <c r="J8" s="110">
        <f>E8-K8</f>
        <v>5546.6</v>
      </c>
      <c r="K8" s="110">
        <v>417.91154789988013</v>
      </c>
      <c r="L8" s="19"/>
      <c r="M8" s="19"/>
      <c r="N8" s="19"/>
      <c r="O8" s="19"/>
    </row>
    <row r="9" spans="1:15" ht="16.5" x14ac:dyDescent="0.2">
      <c r="A9" s="58" t="s">
        <v>86</v>
      </c>
      <c r="B9" s="19"/>
      <c r="C9" s="104"/>
      <c r="D9" s="104"/>
      <c r="E9" s="104"/>
      <c r="F9" s="104"/>
      <c r="G9" s="114"/>
      <c r="H9" s="104"/>
      <c r="I9" s="104"/>
      <c r="J9" s="104"/>
      <c r="K9" s="19"/>
      <c r="L9" s="19"/>
      <c r="M9" s="19"/>
      <c r="N9" s="19"/>
      <c r="O9" s="19"/>
    </row>
    <row r="10" spans="1:15" ht="14.25" x14ac:dyDescent="0.2">
      <c r="A10" s="19" t="s">
        <v>87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25" x14ac:dyDescent="0.2">
      <c r="A11" s="19" t="s">
        <v>88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4.25" x14ac:dyDescent="0.2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4.2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4.25" x14ac:dyDescent="0.2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4.25" x14ac:dyDescent="0.2">
      <c r="A15" s="19"/>
      <c r="B15" s="162" t="s">
        <v>59</v>
      </c>
      <c r="C15" s="162"/>
      <c r="D15" s="162"/>
      <c r="E15" s="162"/>
      <c r="F15" s="19"/>
      <c r="G15" s="162" t="s">
        <v>60</v>
      </c>
      <c r="H15" s="162"/>
      <c r="I15" s="162"/>
      <c r="J15" s="19"/>
      <c r="K15" s="19"/>
      <c r="L15" s="19"/>
      <c r="M15" s="19"/>
      <c r="N15" s="19"/>
      <c r="O15" s="19"/>
    </row>
    <row r="16" spans="1:15" ht="14.25" x14ac:dyDescent="0.2">
      <c r="A16" s="19" t="s">
        <v>16</v>
      </c>
      <c r="B16" s="21" t="s">
        <v>71</v>
      </c>
      <c r="C16" s="25"/>
      <c r="D16" s="25"/>
      <c r="E16" s="25"/>
      <c r="F16" s="25"/>
      <c r="G16" s="25"/>
      <c r="H16" s="25"/>
      <c r="I16" s="25"/>
      <c r="J16" s="21" t="s">
        <v>61</v>
      </c>
      <c r="K16" s="19"/>
      <c r="L16" s="19"/>
      <c r="M16" s="19"/>
      <c r="N16" s="19"/>
      <c r="O16" s="19"/>
    </row>
    <row r="17" spans="1:15" ht="14.25" x14ac:dyDescent="0.2">
      <c r="A17" s="26" t="s">
        <v>62</v>
      </c>
      <c r="B17" s="28" t="s">
        <v>63</v>
      </c>
      <c r="C17" s="78" t="s">
        <v>25</v>
      </c>
      <c r="D17" s="30" t="s">
        <v>72</v>
      </c>
      <c r="E17" s="28" t="s">
        <v>84</v>
      </c>
      <c r="F17" s="29"/>
      <c r="G17" s="106" t="s">
        <v>89</v>
      </c>
      <c r="H17" s="28" t="s">
        <v>29</v>
      </c>
      <c r="I17" s="30" t="s">
        <v>64</v>
      </c>
      <c r="J17" s="28" t="s">
        <v>63</v>
      </c>
      <c r="K17" s="19"/>
      <c r="L17" s="19"/>
      <c r="M17" s="19"/>
      <c r="N17" s="19"/>
      <c r="O17" s="19"/>
    </row>
    <row r="18" spans="1:15" ht="14.25" x14ac:dyDescent="0.2">
      <c r="A18" s="19"/>
      <c r="B18" s="167" t="s">
        <v>90</v>
      </c>
      <c r="C18" s="167"/>
      <c r="D18" s="167"/>
      <c r="E18" s="167"/>
      <c r="F18" s="167"/>
      <c r="G18" s="167"/>
      <c r="H18" s="167"/>
      <c r="I18" s="167"/>
      <c r="J18" s="167"/>
      <c r="K18" s="19"/>
      <c r="L18" s="19"/>
      <c r="M18" s="19"/>
      <c r="N18" s="19"/>
      <c r="O18" s="19"/>
    </row>
    <row r="19" spans="1:15" ht="14.25" x14ac:dyDescent="0.2">
      <c r="A19" s="19" t="s">
        <v>33</v>
      </c>
      <c r="B19" s="102">
        <v>43</v>
      </c>
      <c r="C19" s="105">
        <v>779.976</v>
      </c>
      <c r="D19" s="103">
        <v>0</v>
      </c>
      <c r="E19" s="105">
        <v>822.976</v>
      </c>
      <c r="F19" s="19"/>
      <c r="G19" s="105">
        <v>688.44474810762813</v>
      </c>
      <c r="H19" s="105">
        <v>109.65925189237197</v>
      </c>
      <c r="I19" s="109">
        <f>SUM(G19:H19)</f>
        <v>798.10400000000004</v>
      </c>
      <c r="J19" s="102">
        <v>24.872</v>
      </c>
      <c r="K19" s="19"/>
      <c r="L19" s="19"/>
      <c r="M19" s="19"/>
      <c r="N19" s="19"/>
      <c r="O19" s="19"/>
    </row>
    <row r="20" spans="1:15" ht="16.5" x14ac:dyDescent="0.2">
      <c r="A20" s="23" t="s">
        <v>34</v>
      </c>
      <c r="B20" s="106">
        <f>J19</f>
        <v>24.872</v>
      </c>
      <c r="C20" s="109">
        <v>648.57100000000003</v>
      </c>
      <c r="D20" s="107">
        <v>0</v>
      </c>
      <c r="E20" s="109">
        <f>B20+C20+D20</f>
        <v>673.44299999999998</v>
      </c>
      <c r="F20" s="108"/>
      <c r="G20" s="109">
        <v>573.37749036166895</v>
      </c>
      <c r="H20" s="109">
        <v>60.759509638330982</v>
      </c>
      <c r="I20" s="109">
        <f>SUM(G20:H20)</f>
        <v>634.13699999999994</v>
      </c>
      <c r="J20" s="106">
        <v>39.305999999999997</v>
      </c>
      <c r="K20" s="19"/>
      <c r="L20" s="19"/>
      <c r="M20" s="19"/>
      <c r="N20" s="19"/>
      <c r="O20" s="19"/>
    </row>
    <row r="21" spans="1:15" ht="16.5" x14ac:dyDescent="0.2">
      <c r="A21" s="17" t="s">
        <v>35</v>
      </c>
      <c r="B21" s="110">
        <f>J20</f>
        <v>39.305999999999997</v>
      </c>
      <c r="C21" s="113">
        <v>755</v>
      </c>
      <c r="D21" s="111">
        <v>0</v>
      </c>
      <c r="E21" s="113">
        <f>B21+C21+D21</f>
        <v>794.30600000000004</v>
      </c>
      <c r="F21" s="112"/>
      <c r="G21" s="113">
        <v>694.30600000000004</v>
      </c>
      <c r="H21" s="113">
        <v>75</v>
      </c>
      <c r="I21" s="113">
        <f>SUM(G21:H21)</f>
        <v>769.30600000000004</v>
      </c>
      <c r="J21" s="110">
        <v>25</v>
      </c>
      <c r="K21" s="19"/>
      <c r="L21" s="19"/>
      <c r="M21" s="19"/>
      <c r="N21" s="19"/>
      <c r="O21" s="19"/>
    </row>
    <row r="22" spans="1:15" ht="16.5" x14ac:dyDescent="0.2">
      <c r="A22" s="58" t="s">
        <v>86</v>
      </c>
      <c r="B22" s="19"/>
      <c r="C22" s="104"/>
      <c r="D22" s="104"/>
      <c r="E22" s="104"/>
      <c r="F22" s="104"/>
      <c r="G22" s="104"/>
      <c r="H22" s="104"/>
      <c r="I22" s="19"/>
      <c r="J22" s="19"/>
      <c r="K22" s="19"/>
      <c r="L22" s="19"/>
      <c r="M22" s="19"/>
      <c r="N22" s="19"/>
      <c r="O22" s="19"/>
    </row>
    <row r="23" spans="1:15" ht="14.25" x14ac:dyDescent="0.2">
      <c r="A23" s="19" t="s">
        <v>91</v>
      </c>
      <c r="B23" s="108"/>
      <c r="C23" s="108"/>
      <c r="D23" s="108"/>
      <c r="E23" s="108"/>
      <c r="F23" s="108"/>
      <c r="G23" s="108"/>
      <c r="H23" s="108"/>
      <c r="I23" s="19"/>
      <c r="J23" s="19"/>
      <c r="K23" s="19"/>
      <c r="L23" s="19"/>
      <c r="M23" s="19"/>
      <c r="N23" s="19"/>
      <c r="O23" s="19"/>
    </row>
    <row r="24" spans="1:15" ht="14.25" x14ac:dyDescent="0.2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4.25" x14ac:dyDescent="0.2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4.25" x14ac:dyDescent="0.2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4.25" x14ac:dyDescent="0.2">
      <c r="A27" s="19"/>
      <c r="B27" s="162" t="s">
        <v>59</v>
      </c>
      <c r="C27" s="162"/>
      <c r="D27" s="162"/>
      <c r="E27" s="162"/>
      <c r="F27" s="19"/>
      <c r="G27" s="162" t="s">
        <v>60</v>
      </c>
      <c r="H27" s="162"/>
      <c r="I27" s="162"/>
      <c r="J27" s="19"/>
      <c r="K27" s="19"/>
      <c r="L27" s="19"/>
      <c r="M27" s="19"/>
      <c r="N27" s="19"/>
      <c r="O27" s="19"/>
    </row>
    <row r="28" spans="1:15" ht="14.25" x14ac:dyDescent="0.2">
      <c r="A28" s="19" t="s">
        <v>16</v>
      </c>
      <c r="B28" s="21" t="s">
        <v>71</v>
      </c>
      <c r="C28" s="25"/>
      <c r="D28" s="25"/>
      <c r="E28" s="25"/>
      <c r="F28" s="25"/>
      <c r="G28" s="25"/>
      <c r="H28" s="25"/>
      <c r="I28" s="25"/>
      <c r="J28" s="21" t="s">
        <v>61</v>
      </c>
      <c r="K28" s="19"/>
      <c r="L28" s="19"/>
      <c r="M28" s="19"/>
      <c r="N28" s="19"/>
      <c r="O28" s="19"/>
    </row>
    <row r="29" spans="1:15" ht="14.25" x14ac:dyDescent="0.2">
      <c r="A29" s="26" t="s">
        <v>62</v>
      </c>
      <c r="B29" s="28" t="s">
        <v>63</v>
      </c>
      <c r="C29" s="28" t="s">
        <v>25</v>
      </c>
      <c r="D29" s="30" t="s">
        <v>72</v>
      </c>
      <c r="E29" s="28" t="s">
        <v>84</v>
      </c>
      <c r="F29" s="29"/>
      <c r="G29" s="28" t="s">
        <v>65</v>
      </c>
      <c r="H29" s="28" t="s">
        <v>29</v>
      </c>
      <c r="I29" s="28" t="s">
        <v>64</v>
      </c>
      <c r="J29" s="28" t="s">
        <v>67</v>
      </c>
      <c r="K29" s="19"/>
      <c r="L29" s="19"/>
      <c r="M29" s="19"/>
      <c r="N29" s="19"/>
      <c r="O29" s="19"/>
    </row>
    <row r="30" spans="1:15" ht="14.25" x14ac:dyDescent="0.2">
      <c r="A30" s="19"/>
      <c r="B30" s="167" t="s">
        <v>92</v>
      </c>
      <c r="C30" s="167"/>
      <c r="D30" s="167"/>
      <c r="E30" s="167"/>
      <c r="F30" s="167"/>
      <c r="G30" s="167"/>
      <c r="H30" s="167"/>
      <c r="I30" s="167"/>
      <c r="J30" s="167"/>
      <c r="K30" s="19"/>
      <c r="L30" s="19"/>
      <c r="M30" s="19"/>
      <c r="N30" s="19"/>
      <c r="O30" s="19"/>
    </row>
    <row r="31" spans="1:15" ht="14.25" x14ac:dyDescent="0.2">
      <c r="A31" s="19" t="s">
        <v>33</v>
      </c>
      <c r="B31" s="103">
        <v>35.040999999999997</v>
      </c>
      <c r="C31" s="105">
        <v>481.34800000000001</v>
      </c>
      <c r="D31" s="103">
        <v>0.26666000000000001</v>
      </c>
      <c r="E31" s="115">
        <f>B31+C31+D31</f>
        <v>516.65566000000001</v>
      </c>
      <c r="F31" s="19"/>
      <c r="G31" s="109">
        <f>I31-H31</f>
        <v>388.20178644136797</v>
      </c>
      <c r="H31" s="105">
        <v>83.915873558632001</v>
      </c>
      <c r="I31" s="109">
        <f>E31-J31</f>
        <v>472.11766</v>
      </c>
      <c r="J31" s="109">
        <v>44.537999999999997</v>
      </c>
      <c r="K31" s="19"/>
      <c r="L31" s="19"/>
      <c r="M31" s="19"/>
      <c r="N31" s="19"/>
      <c r="O31" s="19"/>
    </row>
    <row r="32" spans="1:15" ht="16.5" x14ac:dyDescent="0.2">
      <c r="A32" s="23" t="s">
        <v>34</v>
      </c>
      <c r="B32" s="107">
        <f>J31</f>
        <v>44.537999999999997</v>
      </c>
      <c r="C32" s="109">
        <v>399.91800000000001</v>
      </c>
      <c r="D32" s="107">
        <v>21.365218272682</v>
      </c>
      <c r="E32" s="115">
        <f>B32+C32+D32</f>
        <v>465.82121827268202</v>
      </c>
      <c r="F32" s="108"/>
      <c r="G32" s="109">
        <f>I32-H32</f>
        <v>355.51274692573605</v>
      </c>
      <c r="H32" s="109">
        <v>62.100471346945994</v>
      </c>
      <c r="I32" s="109">
        <f>E32-J32</f>
        <v>417.61321827268205</v>
      </c>
      <c r="J32" s="109">
        <v>48.207999999999998</v>
      </c>
      <c r="K32" s="19"/>
      <c r="L32" s="19"/>
      <c r="M32" s="19"/>
      <c r="N32" s="19"/>
      <c r="O32" s="19"/>
    </row>
    <row r="33" spans="1:15" ht="16.5" x14ac:dyDescent="0.2">
      <c r="A33" s="17" t="s">
        <v>35</v>
      </c>
      <c r="B33" s="111">
        <f>J32</f>
        <v>48.207999999999998</v>
      </c>
      <c r="C33" s="113">
        <v>470</v>
      </c>
      <c r="D33" s="111">
        <v>5</v>
      </c>
      <c r="E33" s="116">
        <f>B33+C33+D33</f>
        <v>523.20799999999997</v>
      </c>
      <c r="F33" s="112"/>
      <c r="G33" s="113">
        <f>I33-H33</f>
        <v>412.20799999999997</v>
      </c>
      <c r="H33" s="113">
        <v>66</v>
      </c>
      <c r="I33" s="113">
        <f>E33-J33</f>
        <v>478.20799999999997</v>
      </c>
      <c r="J33" s="113">
        <v>45</v>
      </c>
      <c r="K33" s="19"/>
      <c r="L33" s="19"/>
      <c r="M33" s="19"/>
      <c r="N33" s="19"/>
      <c r="O33" s="19"/>
    </row>
    <row r="34" spans="1:15" ht="16.5" x14ac:dyDescent="0.2">
      <c r="A34" s="58" t="s">
        <v>86</v>
      </c>
      <c r="B34" s="19"/>
      <c r="C34" s="104"/>
      <c r="D34" s="104"/>
      <c r="E34" s="104"/>
      <c r="F34" s="104"/>
      <c r="G34" s="104"/>
      <c r="H34" s="104"/>
      <c r="I34" s="19"/>
      <c r="J34" s="19"/>
      <c r="K34" s="19"/>
      <c r="L34" s="19"/>
      <c r="M34" s="19"/>
      <c r="N34" s="19"/>
      <c r="O34" s="19"/>
    </row>
    <row r="35" spans="1:15" ht="14.25" x14ac:dyDescent="0.2">
      <c r="A35" s="19" t="s">
        <v>91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4.25" x14ac:dyDescent="0.2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4.25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4.25" x14ac:dyDescent="0.2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4.25" x14ac:dyDescent="0.2">
      <c r="A39" s="19"/>
      <c r="B39" s="162" t="s">
        <v>12</v>
      </c>
      <c r="C39" s="162"/>
      <c r="D39" s="21" t="s">
        <v>13</v>
      </c>
      <c r="E39" s="162" t="s">
        <v>14</v>
      </c>
      <c r="F39" s="162"/>
      <c r="G39" s="162"/>
      <c r="H39" s="162"/>
      <c r="I39" s="19"/>
      <c r="J39" s="162" t="s">
        <v>60</v>
      </c>
      <c r="K39" s="162"/>
      <c r="L39" s="162"/>
      <c r="M39" s="162"/>
      <c r="N39" s="162"/>
      <c r="O39" s="100"/>
    </row>
    <row r="40" spans="1:15" ht="14.25" x14ac:dyDescent="0.2">
      <c r="A40" s="19" t="s">
        <v>16</v>
      </c>
      <c r="B40" s="21" t="s">
        <v>17</v>
      </c>
      <c r="C40" s="21" t="s">
        <v>18</v>
      </c>
      <c r="D40" s="19"/>
      <c r="E40" s="21" t="s">
        <v>71</v>
      </c>
      <c r="F40" s="21"/>
      <c r="G40" s="21"/>
      <c r="H40" s="21"/>
      <c r="I40" s="19"/>
      <c r="J40" s="117" t="s">
        <v>89</v>
      </c>
      <c r="K40" s="21"/>
      <c r="L40" s="21" t="s">
        <v>21</v>
      </c>
      <c r="M40" s="21"/>
      <c r="N40" s="21"/>
      <c r="O40" s="21" t="s">
        <v>61</v>
      </c>
    </row>
    <row r="41" spans="1:15" ht="14.25" x14ac:dyDescent="0.2">
      <c r="A41" s="26" t="s">
        <v>79</v>
      </c>
      <c r="B41" s="27"/>
      <c r="C41" s="27"/>
      <c r="D41" s="27"/>
      <c r="E41" s="28" t="s">
        <v>63</v>
      </c>
      <c r="F41" s="28" t="s">
        <v>25</v>
      </c>
      <c r="G41" s="28" t="s">
        <v>72</v>
      </c>
      <c r="H41" s="28" t="s">
        <v>84</v>
      </c>
      <c r="I41" s="28"/>
      <c r="J41" s="28" t="s">
        <v>93</v>
      </c>
      <c r="K41" s="28" t="s">
        <v>82</v>
      </c>
      <c r="L41" s="28" t="s">
        <v>94</v>
      </c>
      <c r="M41" s="30" t="s">
        <v>29</v>
      </c>
      <c r="N41" s="28" t="s">
        <v>64</v>
      </c>
      <c r="O41" s="28" t="s">
        <v>67</v>
      </c>
    </row>
    <row r="42" spans="1:15" ht="14.25" x14ac:dyDescent="0.2">
      <c r="A42" s="19"/>
      <c r="B42" s="165" t="s">
        <v>95</v>
      </c>
      <c r="C42" s="166"/>
      <c r="D42" s="118" t="s">
        <v>96</v>
      </c>
      <c r="E42" s="168" t="s">
        <v>97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6"/>
    </row>
    <row r="43" spans="1:15" ht="14.25" x14ac:dyDescent="0.2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4.25" x14ac:dyDescent="0.2">
      <c r="A44" s="19" t="s">
        <v>33</v>
      </c>
      <c r="B44" s="102">
        <v>1432.7</v>
      </c>
      <c r="C44" s="102">
        <v>1389.7</v>
      </c>
      <c r="D44" s="106">
        <f>F44*1000/C44</f>
        <v>3933.5734331150607</v>
      </c>
      <c r="E44" s="102">
        <v>2421.09</v>
      </c>
      <c r="F44" s="102">
        <v>5466.4870000000001</v>
      </c>
      <c r="G44" s="109">
        <v>113.82652333129602</v>
      </c>
      <c r="H44" s="106">
        <f>SUM(E44:G44)</f>
        <v>8001.4035233312961</v>
      </c>
      <c r="I44" s="102"/>
      <c r="J44" s="102">
        <v>3221.4</v>
      </c>
      <c r="K44" s="102">
        <v>774.15131240000005</v>
      </c>
      <c r="L44" s="109">
        <f>N44-J44-K44-M44</f>
        <v>277.31027254689639</v>
      </c>
      <c r="M44" s="105">
        <v>1610.288415053104</v>
      </c>
      <c r="N44" s="102">
        <v>5883.1500000000005</v>
      </c>
      <c r="O44" s="102">
        <v>2118.1880000000001</v>
      </c>
    </row>
    <row r="45" spans="1:15" ht="16.5" x14ac:dyDescent="0.2">
      <c r="A45" s="23" t="s">
        <v>34</v>
      </c>
      <c r="B45" s="106">
        <v>1662.5</v>
      </c>
      <c r="C45" s="106">
        <v>1615.2</v>
      </c>
      <c r="D45" s="106">
        <f>F45*1000/C45</f>
        <v>3812.7476473501733</v>
      </c>
      <c r="E45" s="106">
        <f>O44</f>
        <v>2118.1880000000001</v>
      </c>
      <c r="F45" s="106">
        <v>6158.35</v>
      </c>
      <c r="G45" s="109">
        <v>121.04780464882167</v>
      </c>
      <c r="H45" s="106">
        <f>SUM(E45:G45)</f>
        <v>8397.5858046488229</v>
      </c>
      <c r="I45" s="106"/>
      <c r="J45" s="106">
        <v>3357.2</v>
      </c>
      <c r="K45" s="106">
        <v>872.91017669999985</v>
      </c>
      <c r="L45" s="109">
        <f>N45-J45-K45-M45</f>
        <v>782.56198954251931</v>
      </c>
      <c r="M45" s="109">
        <v>1416.7516384063038</v>
      </c>
      <c r="N45" s="106">
        <f>H45-O45</f>
        <v>6429.4238046488226</v>
      </c>
      <c r="O45" s="106">
        <v>1968.162</v>
      </c>
    </row>
    <row r="46" spans="1:15" ht="16.5" x14ac:dyDescent="0.2">
      <c r="A46" s="17" t="s">
        <v>35</v>
      </c>
      <c r="B46" s="110">
        <v>1580</v>
      </c>
      <c r="C46" s="110">
        <v>1533</v>
      </c>
      <c r="D46" s="110">
        <f>F46*1000/C46</f>
        <v>4072.0808871493805</v>
      </c>
      <c r="E46" s="110">
        <f>O45</f>
        <v>1968.162</v>
      </c>
      <c r="F46" s="110">
        <v>6242.5</v>
      </c>
      <c r="G46" s="113">
        <v>115</v>
      </c>
      <c r="H46" s="110">
        <f>SUM(E46:G46)</f>
        <v>8325.6620000000003</v>
      </c>
      <c r="I46" s="110"/>
      <c r="J46" s="110">
        <v>3390.7563826135997</v>
      </c>
      <c r="K46" s="110">
        <v>875</v>
      </c>
      <c r="L46" s="113">
        <f>N46-J46-K46-M46</f>
        <v>642.99999999999955</v>
      </c>
      <c r="M46" s="113">
        <v>1350</v>
      </c>
      <c r="N46" s="110">
        <f>H46-O46</f>
        <v>6258.7563826135993</v>
      </c>
      <c r="O46" s="110">
        <v>2066.905617386401</v>
      </c>
    </row>
    <row r="47" spans="1:15" ht="16.5" x14ac:dyDescent="0.2">
      <c r="A47" s="58" t="s">
        <v>86</v>
      </c>
      <c r="B47" s="19"/>
      <c r="C47" s="104"/>
      <c r="D47" s="104"/>
      <c r="E47" s="104"/>
      <c r="F47" s="104"/>
      <c r="G47" s="104"/>
      <c r="H47" s="104"/>
      <c r="I47" s="19"/>
      <c r="J47" s="19"/>
      <c r="K47" s="19"/>
      <c r="L47" s="19"/>
      <c r="M47" s="19"/>
      <c r="N47" s="19"/>
      <c r="O47" s="19"/>
    </row>
    <row r="48" spans="1:15" ht="14.25" x14ac:dyDescent="0.2">
      <c r="A48" s="19" t="s">
        <v>98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25" x14ac:dyDescent="0.2">
      <c r="A49" s="19" t="s">
        <v>88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 x14ac:dyDescent="0.2">
      <c r="A50" s="25" t="s">
        <v>58</v>
      </c>
      <c r="B50" s="119">
        <f ca="1">NOW()</f>
        <v>44540.67973773148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5" customHeight="1" x14ac:dyDescent="0.2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  <row r="52" spans="1:15" ht="15.75" x14ac:dyDescent="0.25">
      <c r="G52" s="84"/>
      <c r="H52" s="84"/>
    </row>
    <row r="53" spans="1:15" ht="15.75" x14ac:dyDescent="0.25">
      <c r="G53" s="84"/>
      <c r="H53" s="84"/>
    </row>
    <row r="54" spans="1:15" ht="15.75" x14ac:dyDescent="0.25">
      <c r="G54" s="84"/>
      <c r="H54" s="84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2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38"/>
  <sheetViews>
    <sheetView showGridLines="0" zoomScale="70" zoomScaleNormal="70" workbookViewId="0"/>
  </sheetViews>
  <sheetFormatPr defaultColWidth="9.140625" defaultRowHeight="12.75" x14ac:dyDescent="0.2"/>
  <cols>
    <col min="1" max="1" width="11.7109375" style="18" customWidth="1"/>
    <col min="2" max="2" width="18.85546875" style="18" bestFit="1" customWidth="1"/>
    <col min="3" max="3" width="22.140625" style="18" bestFit="1" customWidth="1"/>
    <col min="4" max="5" width="25.7109375" style="18" bestFit="1" customWidth="1"/>
    <col min="6" max="6" width="16.7109375" style="18" bestFit="1" customWidth="1"/>
    <col min="7" max="7" width="18.85546875" style="18" bestFit="1" customWidth="1"/>
    <col min="8" max="16384" width="9.140625" style="18"/>
  </cols>
  <sheetData>
    <row r="1" spans="1:8" ht="15.6" customHeight="1" x14ac:dyDescent="0.2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 x14ac:dyDescent="0.2">
      <c r="A2" s="23" t="s">
        <v>99</v>
      </c>
      <c r="B2" s="40" t="s">
        <v>100</v>
      </c>
      <c r="C2" s="40" t="s">
        <v>101</v>
      </c>
      <c r="D2" s="40" t="s">
        <v>102</v>
      </c>
      <c r="E2" s="40" t="s">
        <v>103</v>
      </c>
      <c r="F2" s="40" t="s">
        <v>104</v>
      </c>
      <c r="G2" s="40" t="s">
        <v>105</v>
      </c>
      <c r="H2" s="59"/>
    </row>
    <row r="3" spans="1:8" ht="15.6" customHeight="1" x14ac:dyDescent="0.2">
      <c r="A3" s="17" t="s">
        <v>106</v>
      </c>
      <c r="B3" s="29"/>
      <c r="C3" s="65"/>
      <c r="D3" s="65"/>
      <c r="E3" s="65"/>
      <c r="F3" s="65"/>
      <c r="G3" s="65"/>
      <c r="H3" s="59"/>
    </row>
    <row r="4" spans="1:8" ht="14.25" x14ac:dyDescent="0.2">
      <c r="A4" s="66"/>
      <c r="B4" s="67" t="s">
        <v>107</v>
      </c>
      <c r="C4" s="67" t="s">
        <v>108</v>
      </c>
      <c r="D4" s="67" t="s">
        <v>109</v>
      </c>
      <c r="E4" s="67" t="s">
        <v>109</v>
      </c>
      <c r="F4" s="67" t="s">
        <v>110</v>
      </c>
      <c r="G4" s="67" t="s">
        <v>107</v>
      </c>
      <c r="H4" s="59"/>
    </row>
    <row r="5" spans="1:8" ht="14.25" x14ac:dyDescent="0.2">
      <c r="A5" s="19"/>
      <c r="B5" s="19"/>
      <c r="C5" s="19"/>
      <c r="D5" s="21"/>
      <c r="E5" s="19"/>
      <c r="F5" s="19"/>
      <c r="G5" s="19"/>
      <c r="H5" s="59"/>
    </row>
    <row r="6" spans="1:8" ht="14.25" x14ac:dyDescent="0.2">
      <c r="A6" s="19" t="s">
        <v>111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4.25" x14ac:dyDescent="0.2">
      <c r="A7" s="19" t="s">
        <v>112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4.25" x14ac:dyDescent="0.2">
      <c r="A8" s="19" t="s">
        <v>113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4.25" x14ac:dyDescent="0.2">
      <c r="A9" s="19" t="s">
        <v>114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4.25" x14ac:dyDescent="0.2">
      <c r="A10" s="19" t="s">
        <v>115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4.25" x14ac:dyDescent="0.2">
      <c r="A11" s="19" t="s">
        <v>116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4.25" x14ac:dyDescent="0.2">
      <c r="A12" s="19" t="s">
        <v>117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4.25" x14ac:dyDescent="0.2">
      <c r="A13" s="19" t="s">
        <v>118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4.25" x14ac:dyDescent="0.2">
      <c r="A14" s="19" t="s">
        <v>119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4.25" x14ac:dyDescent="0.2">
      <c r="A15" s="19" t="s">
        <v>33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6.5" x14ac:dyDescent="0.2">
      <c r="A16" s="19" t="s">
        <v>120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11.102000000000002</v>
      </c>
      <c r="H16" s="59"/>
    </row>
    <row r="17" spans="1:8" ht="16.5" x14ac:dyDescent="0.2">
      <c r="A17" s="19" t="s">
        <v>121</v>
      </c>
      <c r="B17" s="68">
        <v>12.1</v>
      </c>
      <c r="C17" s="68">
        <v>240</v>
      </c>
      <c r="D17" s="68">
        <v>31.9</v>
      </c>
      <c r="E17" s="68">
        <v>32</v>
      </c>
      <c r="F17" s="68">
        <v>23</v>
      </c>
      <c r="G17" s="68">
        <v>25</v>
      </c>
      <c r="H17" s="59"/>
    </row>
    <row r="18" spans="1:8" ht="14.25" x14ac:dyDescent="0.2">
      <c r="A18" s="23"/>
      <c r="B18" s="69"/>
      <c r="C18" s="70"/>
      <c r="D18" s="71"/>
      <c r="E18" s="71"/>
      <c r="F18" s="72"/>
      <c r="G18" s="73"/>
      <c r="H18" s="60"/>
    </row>
    <row r="19" spans="1:8" ht="15" x14ac:dyDescent="0.25">
      <c r="A19" s="74" t="s">
        <v>37</v>
      </c>
      <c r="B19" s="68"/>
      <c r="C19" s="68"/>
      <c r="D19" s="68"/>
      <c r="E19" s="68"/>
      <c r="F19" s="68"/>
      <c r="G19" s="68"/>
    </row>
    <row r="20" spans="1:8" ht="14.25" x14ac:dyDescent="0.2">
      <c r="A20" s="23" t="s">
        <v>38</v>
      </c>
      <c r="B20" s="68">
        <v>9.24</v>
      </c>
      <c r="C20" s="68">
        <v>164</v>
      </c>
      <c r="D20" s="68">
        <v>23.7</v>
      </c>
      <c r="E20" s="68">
        <v>16.399999999999999</v>
      </c>
      <c r="F20" s="68">
        <v>20.5</v>
      </c>
      <c r="G20" s="68">
        <v>9.64</v>
      </c>
    </row>
    <row r="21" spans="1:8" ht="14.25" x14ac:dyDescent="0.2">
      <c r="A21" s="23" t="s">
        <v>39</v>
      </c>
      <c r="B21" s="68">
        <v>9.6300000000000008</v>
      </c>
      <c r="C21" s="68">
        <v>189</v>
      </c>
      <c r="D21" s="68">
        <v>19.100000000000001</v>
      </c>
      <c r="E21" s="68">
        <v>16.2</v>
      </c>
      <c r="F21" s="68">
        <v>20.9</v>
      </c>
      <c r="G21" s="68">
        <v>9.76</v>
      </c>
    </row>
    <row r="22" spans="1:8" ht="14.25" x14ac:dyDescent="0.2">
      <c r="A22" s="23" t="s">
        <v>40</v>
      </c>
      <c r="B22" s="68">
        <v>10.3</v>
      </c>
      <c r="C22" s="68">
        <v>199</v>
      </c>
      <c r="D22" s="68">
        <v>18.899999999999999</v>
      </c>
      <c r="E22" s="68">
        <v>18.100000000000001</v>
      </c>
      <c r="F22" s="68">
        <v>21.2</v>
      </c>
      <c r="G22" s="68">
        <v>10.7</v>
      </c>
    </row>
    <row r="23" spans="1:8" ht="14.25" x14ac:dyDescent="0.2">
      <c r="A23" s="23" t="s">
        <v>42</v>
      </c>
      <c r="B23" s="68">
        <v>10.6</v>
      </c>
      <c r="C23" s="68">
        <v>195</v>
      </c>
      <c r="D23" s="68">
        <v>19.2</v>
      </c>
      <c r="E23" s="68">
        <v>17.2</v>
      </c>
      <c r="F23" s="68">
        <v>20.399999999999999</v>
      </c>
      <c r="G23" s="68">
        <v>10.9</v>
      </c>
    </row>
    <row r="24" spans="1:8" ht="14.25" x14ac:dyDescent="0.2">
      <c r="A24" s="23" t="s">
        <v>43</v>
      </c>
      <c r="B24" s="68">
        <v>10.9</v>
      </c>
      <c r="C24" s="68">
        <v>209</v>
      </c>
      <c r="D24" s="68">
        <v>19.5</v>
      </c>
      <c r="E24" s="68">
        <v>18.8</v>
      </c>
      <c r="F24" s="68">
        <v>20.5</v>
      </c>
      <c r="G24" s="68">
        <v>12</v>
      </c>
    </row>
    <row r="25" spans="1:8" ht="14.25" x14ac:dyDescent="0.2">
      <c r="A25" s="23" t="s">
        <v>44</v>
      </c>
      <c r="B25" s="68">
        <v>12.7</v>
      </c>
      <c r="C25" s="68">
        <v>185</v>
      </c>
      <c r="D25" s="68">
        <v>21.4</v>
      </c>
      <c r="E25" s="68">
        <v>20.399999999999999</v>
      </c>
      <c r="F25" s="68">
        <v>20.5</v>
      </c>
      <c r="G25" s="68">
        <v>13.2</v>
      </c>
    </row>
    <row r="26" spans="1:8" ht="14.25" x14ac:dyDescent="0.2">
      <c r="A26" s="23" t="s">
        <v>46</v>
      </c>
      <c r="B26" s="68">
        <v>13.2</v>
      </c>
      <c r="C26" s="68" t="s">
        <v>77</v>
      </c>
      <c r="D26" s="68">
        <v>21.5</v>
      </c>
      <c r="E26" s="68">
        <v>22</v>
      </c>
      <c r="F26" s="68">
        <v>21.2</v>
      </c>
      <c r="G26" s="68">
        <v>15.7</v>
      </c>
    </row>
    <row r="27" spans="1:8" ht="14.25" x14ac:dyDescent="0.2">
      <c r="A27" s="23" t="s">
        <v>47</v>
      </c>
      <c r="B27" s="68">
        <v>13.9</v>
      </c>
      <c r="C27" s="68" t="s">
        <v>77</v>
      </c>
      <c r="D27" s="68">
        <v>23.7</v>
      </c>
      <c r="E27" s="68">
        <v>23.8</v>
      </c>
      <c r="F27" s="68">
        <v>21.4</v>
      </c>
      <c r="G27" s="68">
        <v>18.100000000000001</v>
      </c>
    </row>
    <row r="28" spans="1:8" ht="14.25" x14ac:dyDescent="0.2">
      <c r="A28" s="23" t="s">
        <v>48</v>
      </c>
      <c r="B28" s="68">
        <v>14.8</v>
      </c>
      <c r="C28" s="68" t="s">
        <v>77</v>
      </c>
      <c r="D28" s="68">
        <v>26.4</v>
      </c>
      <c r="E28" s="68">
        <v>26.1</v>
      </c>
      <c r="F28" s="68">
        <v>21.3</v>
      </c>
      <c r="G28" s="68">
        <v>18.3</v>
      </c>
    </row>
    <row r="29" spans="1:8" ht="14.25" x14ac:dyDescent="0.2">
      <c r="A29" s="23" t="s">
        <v>50</v>
      </c>
      <c r="B29" s="68">
        <v>14.5</v>
      </c>
      <c r="C29" s="68" t="s">
        <v>77</v>
      </c>
      <c r="D29" s="68">
        <v>28.4</v>
      </c>
      <c r="E29" s="68">
        <v>26</v>
      </c>
      <c r="F29" s="68">
        <v>21.3</v>
      </c>
      <c r="G29" s="68">
        <v>19.899999999999999</v>
      </c>
    </row>
    <row r="30" spans="1:8" ht="14.25" x14ac:dyDescent="0.2">
      <c r="A30" s="23" t="s">
        <v>51</v>
      </c>
      <c r="B30" s="68">
        <v>14.1</v>
      </c>
      <c r="C30" s="68" t="s">
        <v>77</v>
      </c>
      <c r="D30" s="68">
        <v>28</v>
      </c>
      <c r="E30" s="68">
        <v>27.7</v>
      </c>
      <c r="F30" s="68">
        <v>21.6</v>
      </c>
      <c r="G30" s="68">
        <v>20.100000000000001</v>
      </c>
    </row>
    <row r="31" spans="1:8" ht="14.25" x14ac:dyDescent="0.2">
      <c r="A31" s="23" t="s">
        <v>52</v>
      </c>
      <c r="B31" s="68">
        <v>13.7</v>
      </c>
      <c r="C31" s="68">
        <v>255</v>
      </c>
      <c r="D31" s="68">
        <v>29.4</v>
      </c>
      <c r="E31" s="68">
        <v>30.9</v>
      </c>
      <c r="F31" s="68">
        <v>21.3</v>
      </c>
      <c r="G31" s="68">
        <v>20.2</v>
      </c>
    </row>
    <row r="32" spans="1:8" ht="14.25" x14ac:dyDescent="0.2">
      <c r="A32" s="23"/>
      <c r="B32" s="68"/>
      <c r="C32" s="68"/>
      <c r="D32" s="68"/>
      <c r="E32" s="68"/>
      <c r="F32" s="68"/>
      <c r="G32" s="68"/>
    </row>
    <row r="33" spans="1:7" ht="15" x14ac:dyDescent="0.25">
      <c r="A33" s="74" t="s">
        <v>54</v>
      </c>
      <c r="B33" s="68"/>
      <c r="C33" s="68"/>
      <c r="D33" s="68"/>
      <c r="E33" s="68"/>
      <c r="F33" s="68"/>
      <c r="G33" s="68"/>
    </row>
    <row r="34" spans="1:7" ht="14.25" x14ac:dyDescent="0.2">
      <c r="A34" s="23" t="s">
        <v>38</v>
      </c>
      <c r="B34" s="68">
        <v>12.2</v>
      </c>
      <c r="C34" s="68">
        <v>235</v>
      </c>
      <c r="D34" s="68">
        <v>30.7</v>
      </c>
      <c r="E34" s="68">
        <v>28.7</v>
      </c>
      <c r="F34" s="68">
        <v>22.3</v>
      </c>
      <c r="G34" s="68">
        <v>19.8</v>
      </c>
    </row>
    <row r="35" spans="1:7" ht="14.25" x14ac:dyDescent="0.2">
      <c r="A35" s="17" t="s">
        <v>39</v>
      </c>
      <c r="B35" s="16">
        <v>11.9</v>
      </c>
      <c r="C35" s="16">
        <v>244</v>
      </c>
      <c r="D35" s="16">
        <v>30.5</v>
      </c>
      <c r="E35" s="16">
        <v>29.5</v>
      </c>
      <c r="F35" s="16">
        <v>24</v>
      </c>
      <c r="G35" s="16">
        <v>25.1</v>
      </c>
    </row>
    <row r="36" spans="1:7" ht="16.5" x14ac:dyDescent="0.2">
      <c r="A36" s="19" t="s">
        <v>122</v>
      </c>
      <c r="B36" s="19"/>
      <c r="C36" s="19"/>
      <c r="D36" s="19"/>
      <c r="E36" s="19"/>
      <c r="F36" s="19"/>
      <c r="G36" s="19"/>
    </row>
    <row r="37" spans="1:7" ht="14.25" x14ac:dyDescent="0.2">
      <c r="A37" s="19" t="s">
        <v>123</v>
      </c>
      <c r="B37" s="19"/>
      <c r="C37" s="19"/>
      <c r="D37" s="19"/>
      <c r="E37" s="19"/>
      <c r="F37" s="19"/>
      <c r="G37" s="19"/>
    </row>
    <row r="38" spans="1:7" ht="14.25" x14ac:dyDescent="0.2">
      <c r="A38" s="25" t="s">
        <v>58</v>
      </c>
      <c r="B38" s="50">
        <f ca="1">NOW()</f>
        <v>44540.67973773148</v>
      </c>
      <c r="C38" s="19"/>
      <c r="D38" s="19"/>
      <c r="E38" s="19"/>
      <c r="F38" s="19"/>
      <c r="G38" s="19"/>
    </row>
  </sheetData>
  <phoneticPr fontId="12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59"/>
  <sheetViews>
    <sheetView showGridLines="0" zoomScale="70" zoomScaleNormal="70" workbookViewId="0"/>
  </sheetViews>
  <sheetFormatPr defaultColWidth="9.140625" defaultRowHeight="12.75" x14ac:dyDescent="0.2"/>
  <cols>
    <col min="1" max="2" width="11.7109375" style="18" customWidth="1"/>
    <col min="3" max="3" width="11.5703125" style="18" customWidth="1"/>
    <col min="4" max="4" width="13.7109375" style="18" customWidth="1"/>
    <col min="5" max="5" width="10.5703125" style="18" customWidth="1"/>
    <col min="6" max="6" width="11.5703125" style="18" bestFit="1" customWidth="1"/>
    <col min="7" max="7" width="10.7109375" style="18" customWidth="1"/>
    <col min="8" max="9" width="10.5703125" style="18" customWidth="1"/>
    <col min="10" max="11" width="9.140625" style="18"/>
    <col min="12" max="12" width="22.28515625" style="18" bestFit="1" customWidth="1"/>
    <col min="13" max="13" width="20.28515625" style="18" bestFit="1" customWidth="1"/>
    <col min="14" max="16384" width="9.140625" style="18"/>
  </cols>
  <sheetData>
    <row r="1" spans="1:9" ht="14.25" x14ac:dyDescent="0.2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 x14ac:dyDescent="0.2">
      <c r="A2" s="75" t="s">
        <v>99</v>
      </c>
      <c r="B2" s="40" t="s">
        <v>124</v>
      </c>
      <c r="C2" s="40" t="s">
        <v>125</v>
      </c>
      <c r="D2" s="40" t="s">
        <v>126</v>
      </c>
      <c r="E2" s="76" t="s">
        <v>127</v>
      </c>
      <c r="F2" s="76" t="s">
        <v>128</v>
      </c>
      <c r="G2" s="40" t="s">
        <v>129</v>
      </c>
      <c r="H2" s="40" t="s">
        <v>130</v>
      </c>
      <c r="I2" s="77" t="s">
        <v>131</v>
      </c>
    </row>
    <row r="3" spans="1:9" ht="15.6" customHeight="1" x14ac:dyDescent="0.2">
      <c r="A3" s="78" t="s">
        <v>106</v>
      </c>
      <c r="B3" s="28" t="s">
        <v>132</v>
      </c>
      <c r="C3" s="28" t="s">
        <v>133</v>
      </c>
      <c r="D3" s="28" t="s">
        <v>134</v>
      </c>
      <c r="E3" s="28" t="s">
        <v>134</v>
      </c>
      <c r="F3" s="28" t="s">
        <v>135</v>
      </c>
      <c r="G3" s="28" t="s">
        <v>135</v>
      </c>
      <c r="H3" s="28"/>
      <c r="I3" s="28" t="s">
        <v>136</v>
      </c>
    </row>
    <row r="4" spans="1:9" ht="14.25" x14ac:dyDescent="0.2">
      <c r="A4" s="19"/>
      <c r="B4" s="79" t="s">
        <v>137</v>
      </c>
      <c r="C4" s="80"/>
      <c r="D4" s="80"/>
      <c r="E4" s="80"/>
      <c r="F4" s="80"/>
      <c r="G4" s="80"/>
      <c r="H4" s="80"/>
      <c r="I4" s="80"/>
    </row>
    <row r="5" spans="1:9" ht="14.25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9" ht="14.25" x14ac:dyDescent="0.2">
      <c r="A6" s="19" t="s">
        <v>111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4.25" x14ac:dyDescent="0.2">
      <c r="A7" s="19" t="s">
        <v>112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4.25" x14ac:dyDescent="0.2">
      <c r="A8" s="19" t="s">
        <v>113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4.25" x14ac:dyDescent="0.2">
      <c r="A9" s="19" t="s">
        <v>114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4.25" x14ac:dyDescent="0.2">
      <c r="A10" s="19" t="s">
        <v>115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4.25" x14ac:dyDescent="0.2">
      <c r="A11" s="19" t="s">
        <v>116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4.25" x14ac:dyDescent="0.2">
      <c r="A12" s="19" t="s">
        <v>117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4.25" x14ac:dyDescent="0.2">
      <c r="A13" s="19" t="s">
        <v>118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4.25" x14ac:dyDescent="0.2">
      <c r="A14" s="19" t="s">
        <v>119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4.25" x14ac:dyDescent="0.2">
      <c r="A15" s="19" t="s">
        <v>33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6.5" x14ac:dyDescent="0.2">
      <c r="A16" s="19" t="s">
        <v>138</v>
      </c>
      <c r="B16" s="68">
        <v>56.87</v>
      </c>
      <c r="C16" s="68">
        <v>80.94</v>
      </c>
      <c r="D16" s="68">
        <v>79.000000000000014</v>
      </c>
      <c r="E16" s="68">
        <v>70.459999999999994</v>
      </c>
      <c r="F16" s="68">
        <v>101.4</v>
      </c>
      <c r="G16" s="68">
        <v>44</v>
      </c>
      <c r="H16" s="68">
        <v>43.5</v>
      </c>
      <c r="I16" s="68">
        <v>39</v>
      </c>
    </row>
    <row r="17" spans="1:10" ht="16.5" x14ac:dyDescent="0.2">
      <c r="A17" s="19" t="s">
        <v>139</v>
      </c>
      <c r="B17" s="68">
        <v>65</v>
      </c>
      <c r="C17" s="68">
        <v>95</v>
      </c>
      <c r="D17" s="68">
        <v>100</v>
      </c>
      <c r="E17" s="68">
        <v>80</v>
      </c>
      <c r="F17" s="68">
        <v>105</v>
      </c>
      <c r="G17" s="68">
        <v>78</v>
      </c>
      <c r="H17" s="68">
        <v>56</v>
      </c>
      <c r="I17" s="68">
        <v>58</v>
      </c>
    </row>
    <row r="18" spans="1:10" ht="14.25" x14ac:dyDescent="0.2">
      <c r="A18" s="19"/>
      <c r="B18" s="38"/>
      <c r="C18" s="70"/>
      <c r="D18" s="81"/>
      <c r="E18" s="81"/>
      <c r="F18" s="81"/>
      <c r="G18" s="81"/>
      <c r="H18" s="19"/>
      <c r="I18" s="19"/>
    </row>
    <row r="19" spans="1:10" ht="15" x14ac:dyDescent="0.25">
      <c r="A19" s="41" t="s">
        <v>37</v>
      </c>
      <c r="B19" s="68"/>
      <c r="C19" s="68"/>
      <c r="D19" s="68"/>
      <c r="E19" s="68"/>
      <c r="F19" s="68"/>
      <c r="G19" s="68"/>
      <c r="H19" s="68"/>
      <c r="I19" s="68"/>
    </row>
    <row r="20" spans="1:10" ht="14.25" x14ac:dyDescent="0.2">
      <c r="A20" s="23" t="s">
        <v>39</v>
      </c>
      <c r="B20" s="68">
        <v>33.909999999999997</v>
      </c>
      <c r="C20" s="68">
        <v>48.35</v>
      </c>
      <c r="D20" s="68">
        <v>57</v>
      </c>
      <c r="E20" s="68">
        <v>44.35</v>
      </c>
      <c r="F20" s="68">
        <v>93</v>
      </c>
      <c r="G20" s="68">
        <v>42.4375</v>
      </c>
      <c r="H20" s="68" t="s">
        <v>77</v>
      </c>
      <c r="I20" s="68">
        <v>34.5</v>
      </c>
    </row>
    <row r="21" spans="1:10" ht="14.25" x14ac:dyDescent="0.2">
      <c r="A21" s="23" t="s">
        <v>40</v>
      </c>
      <c r="B21" s="68">
        <v>37.79</v>
      </c>
      <c r="C21" s="68">
        <v>54.4375</v>
      </c>
      <c r="D21" s="68" t="s">
        <v>77</v>
      </c>
      <c r="E21" s="68">
        <v>49.5</v>
      </c>
      <c r="F21" s="68">
        <v>98.75</v>
      </c>
      <c r="G21" s="68">
        <v>42.524999999999999</v>
      </c>
      <c r="H21" s="68">
        <v>41</v>
      </c>
      <c r="I21" s="68">
        <v>34</v>
      </c>
    </row>
    <row r="22" spans="1:10" ht="14.25" x14ac:dyDescent="0.2">
      <c r="A22" s="23" t="s">
        <v>42</v>
      </c>
      <c r="B22" s="68">
        <v>40.85</v>
      </c>
      <c r="C22" s="68">
        <v>59.2</v>
      </c>
      <c r="D22" s="68" t="s">
        <v>77</v>
      </c>
      <c r="E22" s="68">
        <v>51.65</v>
      </c>
      <c r="F22" s="68">
        <v>100</v>
      </c>
      <c r="G22" s="68">
        <v>41.725000000000001</v>
      </c>
      <c r="H22" s="68" t="s">
        <v>77</v>
      </c>
      <c r="I22" s="68">
        <v>36.25</v>
      </c>
    </row>
    <row r="23" spans="1:10" ht="14.25" x14ac:dyDescent="0.2">
      <c r="A23" s="23" t="s">
        <v>43</v>
      </c>
      <c r="B23" s="68">
        <v>44.31</v>
      </c>
      <c r="C23" s="68">
        <v>63.1875</v>
      </c>
      <c r="D23" s="68" t="s">
        <v>77</v>
      </c>
      <c r="E23" s="68">
        <v>53.3125</v>
      </c>
      <c r="F23" s="68">
        <v>90</v>
      </c>
      <c r="G23" s="68">
        <v>43.337499999999999</v>
      </c>
      <c r="H23" s="68" t="s">
        <v>77</v>
      </c>
      <c r="I23" s="68">
        <v>48.129999999999995</v>
      </c>
    </row>
    <row r="24" spans="1:10" ht="14.25" x14ac:dyDescent="0.2">
      <c r="A24" s="23" t="s">
        <v>44</v>
      </c>
      <c r="B24" s="68">
        <v>48.37</v>
      </c>
      <c r="C24" s="68">
        <v>73.625</v>
      </c>
      <c r="D24" s="68" t="s">
        <v>77</v>
      </c>
      <c r="E24" s="68">
        <v>58.9375</v>
      </c>
      <c r="F24" s="68">
        <v>93</v>
      </c>
      <c r="G24" s="68">
        <v>44.945</v>
      </c>
      <c r="H24" s="68" t="s">
        <v>77</v>
      </c>
      <c r="I24" s="68">
        <v>53.125</v>
      </c>
    </row>
    <row r="25" spans="1:10" ht="14.25" x14ac:dyDescent="0.2">
      <c r="A25" s="23" t="s">
        <v>46</v>
      </c>
      <c r="B25" s="68">
        <v>56</v>
      </c>
      <c r="C25" s="68">
        <v>86.9375</v>
      </c>
      <c r="D25" s="68" t="s">
        <v>77</v>
      </c>
      <c r="E25" s="68">
        <v>71.3125</v>
      </c>
      <c r="F25" s="68">
        <v>105.25</v>
      </c>
      <c r="G25" s="68">
        <v>52.05</v>
      </c>
      <c r="H25" s="68">
        <v>55</v>
      </c>
      <c r="I25" s="68">
        <v>55.943333333333328</v>
      </c>
    </row>
    <row r="26" spans="1:10" ht="14.25" x14ac:dyDescent="0.2">
      <c r="A26" s="23" t="s">
        <v>47</v>
      </c>
      <c r="B26" s="68">
        <v>62.88</v>
      </c>
      <c r="C26" s="68">
        <v>92.65</v>
      </c>
      <c r="D26" s="68">
        <v>83</v>
      </c>
      <c r="E26" s="68">
        <v>79.55</v>
      </c>
      <c r="F26" s="68">
        <v>109.2</v>
      </c>
      <c r="G26" s="68">
        <v>59.8125</v>
      </c>
      <c r="H26" s="68" t="s">
        <v>77</v>
      </c>
      <c r="I26" s="68">
        <v>59.3825</v>
      </c>
    </row>
    <row r="27" spans="1:10" ht="14.25" x14ac:dyDescent="0.2">
      <c r="A27" s="23" t="s">
        <v>48</v>
      </c>
      <c r="B27" s="68">
        <v>74.75</v>
      </c>
      <c r="C27" s="68">
        <v>102.1875</v>
      </c>
      <c r="D27" s="68">
        <v>83</v>
      </c>
      <c r="E27" s="68">
        <v>94.0625</v>
      </c>
      <c r="F27" s="68">
        <v>110</v>
      </c>
      <c r="G27" s="68">
        <v>68.25</v>
      </c>
      <c r="H27" s="68">
        <v>58</v>
      </c>
      <c r="I27" s="68">
        <v>64.724999999999994</v>
      </c>
      <c r="J27" s="85"/>
    </row>
    <row r="28" spans="1:10" ht="14.25" x14ac:dyDescent="0.2">
      <c r="A28" s="23" t="s">
        <v>50</v>
      </c>
      <c r="B28" s="68">
        <v>74.75</v>
      </c>
      <c r="C28" s="68">
        <v>100.6875</v>
      </c>
      <c r="D28" s="68" t="s">
        <v>77</v>
      </c>
      <c r="E28" s="68">
        <v>93.5</v>
      </c>
      <c r="F28" s="68">
        <v>108.1875</v>
      </c>
      <c r="G28" s="68">
        <v>67.599999999999994</v>
      </c>
      <c r="H28" s="68" t="s">
        <v>77</v>
      </c>
      <c r="I28" s="68">
        <v>63.666666666666664</v>
      </c>
    </row>
    <row r="29" spans="1:10" ht="14.25" x14ac:dyDescent="0.2">
      <c r="A29" s="23" t="s">
        <v>51</v>
      </c>
      <c r="B29" s="68">
        <v>72.930000000000007</v>
      </c>
      <c r="C29" s="68">
        <v>99.9</v>
      </c>
      <c r="D29" s="68" t="s">
        <v>77</v>
      </c>
      <c r="E29" s="68">
        <v>92.3</v>
      </c>
      <c r="F29" s="68">
        <v>106</v>
      </c>
      <c r="G29" s="68">
        <v>66.094999999999999</v>
      </c>
      <c r="H29" s="68" t="s">
        <v>77</v>
      </c>
      <c r="I29" s="68">
        <v>66.333333333333329</v>
      </c>
    </row>
    <row r="30" spans="1:10" ht="14.25" x14ac:dyDescent="0.2">
      <c r="A30" s="23" t="s">
        <v>52</v>
      </c>
      <c r="B30" s="68">
        <v>70.010000000000005</v>
      </c>
      <c r="C30" s="68">
        <v>96.5</v>
      </c>
      <c r="D30" s="68" t="s">
        <v>77</v>
      </c>
      <c r="E30" s="68">
        <v>81</v>
      </c>
      <c r="F30" s="68">
        <v>108.75</v>
      </c>
      <c r="G30" s="68">
        <v>64.156000000000006</v>
      </c>
      <c r="H30" s="68">
        <v>72.333333333333329</v>
      </c>
      <c r="I30" s="68">
        <v>72</v>
      </c>
    </row>
    <row r="31" spans="1:10" ht="14.25" x14ac:dyDescent="0.2">
      <c r="A31" s="23" t="s">
        <v>38</v>
      </c>
      <c r="B31" s="68">
        <v>65.930000000000007</v>
      </c>
      <c r="C31" s="68">
        <v>93.625</v>
      </c>
      <c r="D31" s="68" t="s">
        <v>77</v>
      </c>
      <c r="E31" s="68">
        <v>76</v>
      </c>
      <c r="F31" s="68">
        <v>105</v>
      </c>
      <c r="G31" s="68">
        <v>53.184999999999995</v>
      </c>
      <c r="H31" s="68" t="s">
        <v>77</v>
      </c>
      <c r="I31" s="68">
        <v>71.75</v>
      </c>
    </row>
    <row r="32" spans="1:10" ht="14.25" x14ac:dyDescent="0.2">
      <c r="A32" s="23"/>
      <c r="B32" s="68"/>
      <c r="C32" s="68"/>
      <c r="D32" s="68"/>
      <c r="E32" s="68"/>
      <c r="F32" s="68"/>
      <c r="G32" s="68"/>
      <c r="H32" s="68"/>
      <c r="I32" s="68"/>
    </row>
    <row r="33" spans="1:9" ht="15" x14ac:dyDescent="0.25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9" ht="14.25" x14ac:dyDescent="0.2">
      <c r="A34" s="23" t="s">
        <v>39</v>
      </c>
      <c r="B34" s="68">
        <v>70.42</v>
      </c>
      <c r="C34" s="68">
        <v>98.5</v>
      </c>
      <c r="D34" s="68">
        <v>129</v>
      </c>
      <c r="E34" s="68">
        <v>82.3</v>
      </c>
      <c r="F34" s="68">
        <v>101.5</v>
      </c>
      <c r="G34" s="68">
        <v>57.069999999999993</v>
      </c>
      <c r="H34" s="68" t="s">
        <v>77</v>
      </c>
      <c r="I34" s="68" t="s">
        <v>77</v>
      </c>
    </row>
    <row r="35" spans="1:9" ht="14.25" x14ac:dyDescent="0.2">
      <c r="A35" s="17" t="s">
        <v>40</v>
      </c>
      <c r="B35" s="16">
        <v>66.459999999999994</v>
      </c>
      <c r="C35" s="16">
        <v>96.75</v>
      </c>
      <c r="D35" s="16">
        <v>125</v>
      </c>
      <c r="E35" s="16">
        <v>84.375</v>
      </c>
      <c r="F35" s="16">
        <v>100</v>
      </c>
      <c r="G35" s="16">
        <v>57.918000000000006</v>
      </c>
      <c r="H35" s="16" t="s">
        <v>77</v>
      </c>
      <c r="I35" s="16">
        <v>80.06</v>
      </c>
    </row>
    <row r="36" spans="1:9" ht="16.5" x14ac:dyDescent="0.2">
      <c r="A36" s="58" t="s">
        <v>140</v>
      </c>
      <c r="B36" s="83"/>
      <c r="C36" s="83"/>
      <c r="D36" s="83"/>
      <c r="E36" s="83"/>
      <c r="F36" s="83"/>
      <c r="G36" s="83"/>
      <c r="H36" s="83"/>
      <c r="I36" s="83"/>
    </row>
    <row r="37" spans="1:9" ht="16.5" x14ac:dyDescent="0.2">
      <c r="A37" s="19" t="s">
        <v>141</v>
      </c>
      <c r="B37" s="83"/>
      <c r="C37" s="83"/>
      <c r="D37" s="83"/>
      <c r="E37" s="83"/>
      <c r="F37" s="83"/>
      <c r="G37" s="83"/>
      <c r="H37" s="83"/>
      <c r="I37" s="83"/>
    </row>
    <row r="38" spans="1:9" ht="14.25" x14ac:dyDescent="0.2">
      <c r="A38" s="19" t="s">
        <v>142</v>
      </c>
      <c r="B38" s="19"/>
      <c r="C38" s="19"/>
      <c r="D38" s="19"/>
      <c r="E38" s="19"/>
      <c r="F38" s="83"/>
      <c r="G38" s="19"/>
      <c r="H38" s="19"/>
      <c r="I38" s="19"/>
    </row>
    <row r="39" spans="1:9" ht="14.25" x14ac:dyDescent="0.2">
      <c r="A39" s="25" t="s">
        <v>58</v>
      </c>
      <c r="B39" s="50">
        <f ca="1">NOW()</f>
        <v>44540.67973773148</v>
      </c>
      <c r="C39" s="19"/>
      <c r="D39" s="19"/>
      <c r="E39" s="19"/>
      <c r="F39" s="19"/>
      <c r="G39" s="19"/>
      <c r="H39" s="19"/>
      <c r="I39" s="19"/>
    </row>
    <row r="40" spans="1:9" ht="15.75" x14ac:dyDescent="0.25">
      <c r="C40" s="84"/>
      <c r="G40" s="84"/>
      <c r="H40" s="84"/>
      <c r="I40" s="84"/>
    </row>
    <row r="41" spans="1:9" ht="15.75" x14ac:dyDescent="0.25">
      <c r="B41" s="85"/>
      <c r="C41" s="84"/>
      <c r="G41" s="84"/>
      <c r="H41" s="84"/>
      <c r="I41" s="84"/>
    </row>
    <row r="42" spans="1:9" ht="15.75" x14ac:dyDescent="0.25">
      <c r="B42" s="85"/>
      <c r="C42" s="125"/>
      <c r="G42" s="84"/>
      <c r="H42" s="84"/>
      <c r="I42" s="84"/>
    </row>
    <row r="43" spans="1:9" ht="15.75" x14ac:dyDescent="0.25">
      <c r="C43" s="84"/>
      <c r="G43" s="84"/>
      <c r="H43" s="84"/>
      <c r="I43" s="84"/>
    </row>
    <row r="44" spans="1:9" ht="15.75" x14ac:dyDescent="0.25">
      <c r="C44" s="84"/>
      <c r="G44" s="84"/>
      <c r="H44" s="84"/>
      <c r="I44" s="84"/>
    </row>
    <row r="45" spans="1:9" ht="15.75" x14ac:dyDescent="0.25">
      <c r="C45" s="84"/>
      <c r="G45" s="84"/>
      <c r="H45" s="84"/>
      <c r="I45" s="84"/>
    </row>
    <row r="46" spans="1:9" ht="15.75" x14ac:dyDescent="0.25">
      <c r="C46" s="84"/>
      <c r="G46" s="84"/>
      <c r="H46" s="84"/>
      <c r="I46" s="84"/>
    </row>
    <row r="47" spans="1:9" ht="15.75" x14ac:dyDescent="0.25">
      <c r="C47" s="84"/>
      <c r="G47" s="84"/>
      <c r="H47" s="84"/>
      <c r="I47" s="84"/>
    </row>
    <row r="48" spans="1:9" ht="15.75" x14ac:dyDescent="0.25">
      <c r="C48" s="84"/>
      <c r="G48" s="84"/>
      <c r="H48" s="84"/>
      <c r="I48" s="84"/>
    </row>
    <row r="49" spans="3:9" ht="15.75" x14ac:dyDescent="0.25">
      <c r="C49" s="84"/>
      <c r="G49" s="84"/>
      <c r="H49" s="84"/>
      <c r="I49" s="84"/>
    </row>
    <row r="50" spans="3:9" ht="15.75" x14ac:dyDescent="0.25">
      <c r="C50" s="84"/>
      <c r="G50" s="84"/>
      <c r="H50" s="84"/>
      <c r="I50" s="84"/>
    </row>
    <row r="51" spans="3:9" ht="15.75" x14ac:dyDescent="0.25">
      <c r="C51" s="84"/>
      <c r="G51" s="84"/>
      <c r="H51" s="84"/>
      <c r="I51" s="84"/>
    </row>
    <row r="52" spans="3:9" ht="15.75" x14ac:dyDescent="0.25">
      <c r="C52" s="84"/>
      <c r="G52" s="84"/>
      <c r="H52" s="84"/>
      <c r="I52" s="84"/>
    </row>
    <row r="53" spans="3:9" ht="15.75" x14ac:dyDescent="0.25">
      <c r="C53" s="84"/>
      <c r="G53" s="84"/>
      <c r="H53" s="84"/>
      <c r="I53" s="84"/>
    </row>
    <row r="54" spans="3:9" ht="15.75" x14ac:dyDescent="0.25">
      <c r="C54" s="84"/>
      <c r="G54" s="84"/>
      <c r="H54" s="84"/>
      <c r="I54" s="84"/>
    </row>
    <row r="55" spans="3:9" ht="15.75" x14ac:dyDescent="0.25">
      <c r="C55" s="84"/>
      <c r="G55" s="84"/>
      <c r="H55" s="84"/>
      <c r="I55" s="84"/>
    </row>
    <row r="56" spans="3:9" ht="15.75" x14ac:dyDescent="0.25">
      <c r="C56" s="84"/>
      <c r="H56" s="84"/>
      <c r="I56" s="84"/>
    </row>
    <row r="57" spans="3:9" ht="15.75" x14ac:dyDescent="0.25">
      <c r="C57" s="84"/>
      <c r="H57" s="84"/>
      <c r="I57" s="84"/>
    </row>
    <row r="58" spans="3:9" ht="15.75" x14ac:dyDescent="0.25">
      <c r="C58" s="84"/>
      <c r="F58" s="85"/>
      <c r="H58" s="84"/>
      <c r="I58" s="84"/>
    </row>
    <row r="59" spans="3:9" ht="15.75" x14ac:dyDescent="0.25">
      <c r="F59" s="85"/>
      <c r="H59" s="84"/>
      <c r="I59" s="84"/>
    </row>
  </sheetData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1"/>
  <sheetViews>
    <sheetView showGridLines="0" zoomScale="70" zoomScaleNormal="70" workbookViewId="0"/>
  </sheetViews>
  <sheetFormatPr defaultColWidth="9.140625" defaultRowHeight="12.75" x14ac:dyDescent="0.2"/>
  <cols>
    <col min="1" max="1" width="11.7109375" style="18" customWidth="1"/>
    <col min="2" max="7" width="13.7109375" style="18" customWidth="1"/>
    <col min="8" max="8" width="10.140625" style="18" bestFit="1" customWidth="1"/>
    <col min="9" max="9" width="9.140625" style="18"/>
    <col min="10" max="10" width="20.28515625" style="18" bestFit="1" customWidth="1"/>
    <col min="11" max="13" width="9.140625" style="18"/>
    <col min="14" max="14" width="8.85546875" style="18" customWidth="1"/>
    <col min="15" max="15" width="18" style="18" bestFit="1" customWidth="1"/>
    <col min="16" max="16384" width="9.140625" style="18"/>
  </cols>
  <sheetData>
    <row r="1" spans="1:31" ht="14.25" x14ac:dyDescent="0.2">
      <c r="A1" s="17" t="s">
        <v>10</v>
      </c>
      <c r="B1" s="17"/>
      <c r="C1" s="17"/>
      <c r="D1" s="17"/>
      <c r="E1" s="17"/>
      <c r="F1" s="17"/>
      <c r="G1" s="17"/>
    </row>
    <row r="2" spans="1:31" ht="15.6" customHeight="1" x14ac:dyDescent="0.2">
      <c r="A2" s="23" t="s">
        <v>99</v>
      </c>
      <c r="B2" s="40" t="s">
        <v>124</v>
      </c>
      <c r="C2" s="86" t="s">
        <v>125</v>
      </c>
      <c r="D2" s="86" t="s">
        <v>126</v>
      </c>
      <c r="E2" s="86" t="s">
        <v>128</v>
      </c>
      <c r="F2" s="40" t="s">
        <v>143</v>
      </c>
      <c r="G2" s="21" t="s">
        <v>144</v>
      </c>
      <c r="AE2" s="87"/>
    </row>
    <row r="3" spans="1:31" ht="15.6" customHeight="1" x14ac:dyDescent="0.2">
      <c r="A3" s="17" t="s">
        <v>106</v>
      </c>
      <c r="B3" s="28" t="s">
        <v>145</v>
      </c>
      <c r="C3" s="28" t="s">
        <v>146</v>
      </c>
      <c r="D3" s="28" t="s">
        <v>147</v>
      </c>
      <c r="E3" s="28" t="s">
        <v>148</v>
      </c>
      <c r="F3" s="28" t="s">
        <v>149</v>
      </c>
      <c r="G3" s="28" t="s">
        <v>150</v>
      </c>
      <c r="AE3" s="87"/>
    </row>
    <row r="4" spans="1:31" ht="14.25" x14ac:dyDescent="0.2">
      <c r="A4" s="19"/>
      <c r="B4" s="79" t="s">
        <v>151</v>
      </c>
      <c r="C4" s="80"/>
      <c r="D4" s="80"/>
      <c r="E4" s="80"/>
      <c r="F4" s="80"/>
      <c r="G4" s="80"/>
      <c r="AE4" s="87"/>
    </row>
    <row r="5" spans="1:31" ht="14.25" x14ac:dyDescent="0.2">
      <c r="A5" s="19"/>
      <c r="B5" s="19"/>
      <c r="C5" s="19"/>
      <c r="D5" s="19"/>
      <c r="E5" s="19"/>
      <c r="F5" s="19"/>
      <c r="G5" s="19"/>
      <c r="AE5" s="87"/>
    </row>
    <row r="6" spans="1:31" ht="14.25" x14ac:dyDescent="0.2">
      <c r="A6" s="19" t="s">
        <v>111</v>
      </c>
      <c r="B6" s="68">
        <v>345.52</v>
      </c>
      <c r="C6" s="68">
        <v>273.83999999999997</v>
      </c>
      <c r="D6" s="68">
        <v>219.72</v>
      </c>
      <c r="E6" s="88" t="s">
        <v>77</v>
      </c>
      <c r="F6" s="68">
        <v>263.63</v>
      </c>
      <c r="G6" s="68">
        <v>240.65</v>
      </c>
      <c r="AE6" s="87"/>
    </row>
    <row r="7" spans="1:31" ht="14.25" x14ac:dyDescent="0.2">
      <c r="A7" s="19" t="s">
        <v>112</v>
      </c>
      <c r="B7" s="68">
        <v>393.53</v>
      </c>
      <c r="C7" s="68">
        <v>275.13</v>
      </c>
      <c r="D7" s="68">
        <v>246.75</v>
      </c>
      <c r="E7" s="88" t="s">
        <v>77</v>
      </c>
      <c r="F7" s="68">
        <v>307.58999999999997</v>
      </c>
      <c r="G7" s="68">
        <v>265.68</v>
      </c>
      <c r="AE7" s="87"/>
    </row>
    <row r="8" spans="1:31" ht="14.25" x14ac:dyDescent="0.2">
      <c r="A8" s="19" t="s">
        <v>113</v>
      </c>
      <c r="B8" s="68">
        <v>468.11</v>
      </c>
      <c r="C8" s="68">
        <v>331.52</v>
      </c>
      <c r="D8" s="68">
        <v>241.57</v>
      </c>
      <c r="E8" s="88" t="s">
        <v>77</v>
      </c>
      <c r="F8" s="68">
        <v>354.22</v>
      </c>
      <c r="G8" s="68">
        <v>329.31</v>
      </c>
      <c r="AE8" s="87"/>
    </row>
    <row r="9" spans="1:31" ht="14.25" x14ac:dyDescent="0.2">
      <c r="A9" s="19" t="s">
        <v>114</v>
      </c>
      <c r="B9" s="68">
        <v>489.94</v>
      </c>
      <c r="C9" s="68">
        <v>377.71</v>
      </c>
      <c r="D9" s="68">
        <v>238.87</v>
      </c>
      <c r="E9" s="88" t="s">
        <v>77</v>
      </c>
      <c r="F9" s="68">
        <v>359.7</v>
      </c>
      <c r="G9" s="68">
        <v>337.23</v>
      </c>
      <c r="AE9" s="87"/>
    </row>
    <row r="10" spans="1:31" ht="14.25" x14ac:dyDescent="0.2">
      <c r="A10" s="19" t="s">
        <v>115</v>
      </c>
      <c r="B10" s="68">
        <v>368.49</v>
      </c>
      <c r="C10" s="68">
        <v>304.27</v>
      </c>
      <c r="D10" s="68">
        <v>209.97</v>
      </c>
      <c r="E10" s="88" t="s">
        <v>77</v>
      </c>
      <c r="F10" s="68">
        <v>301.2</v>
      </c>
      <c r="G10" s="68">
        <v>256.58</v>
      </c>
      <c r="AE10" s="87"/>
    </row>
    <row r="11" spans="1:31" ht="14.25" x14ac:dyDescent="0.2">
      <c r="A11" s="19" t="s">
        <v>116</v>
      </c>
      <c r="B11" s="68">
        <v>324.56</v>
      </c>
      <c r="C11" s="68">
        <v>261.19</v>
      </c>
      <c r="D11" s="68">
        <v>153.16999999999999</v>
      </c>
      <c r="E11" s="88" t="s">
        <v>77</v>
      </c>
      <c r="F11" s="68">
        <v>262.2</v>
      </c>
      <c r="G11" s="68">
        <v>260.23</v>
      </c>
      <c r="AE11" s="87"/>
    </row>
    <row r="12" spans="1:31" ht="14.25" x14ac:dyDescent="0.2">
      <c r="A12" s="19" t="s">
        <v>117</v>
      </c>
      <c r="B12" s="68">
        <v>316.88</v>
      </c>
      <c r="C12" s="68">
        <v>208.61</v>
      </c>
      <c r="D12" s="68">
        <v>145.1</v>
      </c>
      <c r="E12" s="88" t="s">
        <v>77</v>
      </c>
      <c r="F12" s="68">
        <v>267.94</v>
      </c>
      <c r="G12" s="68">
        <v>282.49</v>
      </c>
      <c r="AE12" s="87"/>
    </row>
    <row r="13" spans="1:31" ht="14.25" x14ac:dyDescent="0.2">
      <c r="A13" s="19" t="s">
        <v>118</v>
      </c>
      <c r="B13" s="68">
        <v>345.02</v>
      </c>
      <c r="C13" s="68">
        <v>260.88</v>
      </c>
      <c r="D13" s="68">
        <v>173.53</v>
      </c>
      <c r="E13" s="88" t="s">
        <v>77</v>
      </c>
      <c r="F13" s="68">
        <v>291.14999999999998</v>
      </c>
      <c r="G13" s="68">
        <v>239.15</v>
      </c>
    </row>
    <row r="14" spans="1:31" ht="14.25" x14ac:dyDescent="0.2">
      <c r="A14" s="19" t="s">
        <v>119</v>
      </c>
      <c r="B14" s="68">
        <v>308.27999999999997</v>
      </c>
      <c r="C14" s="68">
        <v>228.64</v>
      </c>
      <c r="D14" s="82">
        <v>164.16</v>
      </c>
      <c r="E14" s="88" t="s">
        <v>77</v>
      </c>
      <c r="F14" s="68">
        <v>272.38</v>
      </c>
      <c r="G14" s="68">
        <v>225.77</v>
      </c>
    </row>
    <row r="15" spans="1:31" ht="14.25" x14ac:dyDescent="0.2">
      <c r="A15" s="19" t="s">
        <v>33</v>
      </c>
      <c r="B15" s="68">
        <v>299.5</v>
      </c>
      <c r="C15" s="68">
        <v>247.04</v>
      </c>
      <c r="D15" s="82">
        <v>187.7</v>
      </c>
      <c r="E15" s="88" t="s">
        <v>77</v>
      </c>
      <c r="F15" s="68">
        <v>273.99</v>
      </c>
      <c r="G15" s="68">
        <v>245.88</v>
      </c>
    </row>
    <row r="16" spans="1:31" ht="16.5" x14ac:dyDescent="0.2">
      <c r="A16" s="19" t="s">
        <v>152</v>
      </c>
      <c r="B16" s="68">
        <v>392.31</v>
      </c>
      <c r="C16" s="68">
        <v>375.51</v>
      </c>
      <c r="D16" s="82">
        <v>246.22</v>
      </c>
      <c r="E16" s="88" t="s">
        <v>77</v>
      </c>
      <c r="F16" s="68">
        <v>351.87</v>
      </c>
      <c r="G16" s="68">
        <v>288.12</v>
      </c>
    </row>
    <row r="17" spans="1:16" ht="16.5" x14ac:dyDescent="0.2">
      <c r="A17" s="19" t="s">
        <v>153</v>
      </c>
      <c r="B17" s="68">
        <v>330</v>
      </c>
      <c r="C17" s="68">
        <v>300</v>
      </c>
      <c r="D17" s="82">
        <v>230</v>
      </c>
      <c r="E17" s="88" t="s">
        <v>77</v>
      </c>
      <c r="F17" s="68">
        <v>325</v>
      </c>
      <c r="G17" s="68">
        <v>230</v>
      </c>
    </row>
    <row r="18" spans="1:16" ht="15" x14ac:dyDescent="0.2">
      <c r="A18" s="23"/>
      <c r="B18" s="68"/>
      <c r="C18" s="68"/>
      <c r="D18" s="68"/>
      <c r="E18" s="88"/>
      <c r="F18" s="68"/>
      <c r="G18" s="68"/>
      <c r="I18" s="89"/>
      <c r="J18" s="91"/>
      <c r="K18" s="91"/>
      <c r="L18" s="89"/>
      <c r="M18" s="91"/>
      <c r="N18" s="91"/>
      <c r="O18" s="91"/>
      <c r="P18" s="91"/>
    </row>
    <row r="19" spans="1:16" ht="15" x14ac:dyDescent="0.25">
      <c r="A19" s="41" t="s">
        <v>37</v>
      </c>
      <c r="B19" s="68"/>
      <c r="C19" s="68"/>
      <c r="D19" s="68"/>
      <c r="E19" s="88"/>
      <c r="F19" s="68"/>
      <c r="G19" s="68"/>
      <c r="I19" s="90"/>
      <c r="J19" s="91"/>
      <c r="K19" s="91"/>
      <c r="L19" s="89"/>
      <c r="M19" s="89"/>
      <c r="P19" s="91"/>
    </row>
    <row r="20" spans="1:16" ht="15" x14ac:dyDescent="0.2">
      <c r="A20" s="19" t="s">
        <v>39</v>
      </c>
      <c r="B20" s="68">
        <v>367.11</v>
      </c>
      <c r="C20" s="68">
        <v>301.88</v>
      </c>
      <c r="D20" s="68">
        <v>211.25</v>
      </c>
      <c r="E20" s="88" t="s">
        <v>77</v>
      </c>
      <c r="F20" s="68">
        <v>327.24</v>
      </c>
      <c r="G20" s="68">
        <v>239.375</v>
      </c>
      <c r="H20" s="92"/>
      <c r="I20" s="89"/>
      <c r="J20" s="91"/>
      <c r="K20" s="91"/>
      <c r="L20" s="89"/>
      <c r="M20" s="89"/>
      <c r="P20" s="91"/>
    </row>
    <row r="21" spans="1:16" ht="15" x14ac:dyDescent="0.2">
      <c r="A21" s="19" t="s">
        <v>40</v>
      </c>
      <c r="B21" s="68">
        <v>387.83</v>
      </c>
      <c r="C21" s="68">
        <v>365.63</v>
      </c>
      <c r="D21" s="68">
        <v>216.25</v>
      </c>
      <c r="E21" s="88" t="s">
        <v>77</v>
      </c>
      <c r="F21" s="68">
        <v>333.89</v>
      </c>
      <c r="G21" s="68">
        <v>253.75</v>
      </c>
      <c r="H21" s="92"/>
      <c r="I21" s="89"/>
      <c r="J21" s="19"/>
      <c r="K21" s="91"/>
      <c r="L21" s="89"/>
      <c r="M21" s="89"/>
    </row>
    <row r="22" spans="1:16" ht="15" x14ac:dyDescent="0.2">
      <c r="A22" s="19" t="s">
        <v>42</v>
      </c>
      <c r="B22" s="68">
        <v>396.68</v>
      </c>
      <c r="C22" s="68">
        <v>435.83</v>
      </c>
      <c r="D22" s="68">
        <v>252.5</v>
      </c>
      <c r="E22" s="88" t="s">
        <v>77</v>
      </c>
      <c r="F22" s="68">
        <v>338.55</v>
      </c>
      <c r="G22" s="68">
        <v>275</v>
      </c>
      <c r="H22" s="92"/>
      <c r="I22" s="89"/>
      <c r="J22" s="19"/>
      <c r="K22" s="91"/>
      <c r="L22" s="89"/>
    </row>
    <row r="23" spans="1:16" ht="15" x14ac:dyDescent="0.2">
      <c r="A23" s="23" t="s">
        <v>43</v>
      </c>
      <c r="B23" s="68">
        <v>439.24</v>
      </c>
      <c r="C23" s="68">
        <v>443.75</v>
      </c>
      <c r="D23" s="68">
        <v>280.63</v>
      </c>
      <c r="E23" s="88" t="s">
        <v>77</v>
      </c>
      <c r="F23" s="68">
        <v>387.53</v>
      </c>
      <c r="G23" s="68">
        <v>313.125</v>
      </c>
      <c r="I23" s="89"/>
      <c r="J23" s="91"/>
      <c r="K23" s="91"/>
      <c r="L23" s="91"/>
      <c r="M23" s="91"/>
      <c r="N23" s="91"/>
    </row>
    <row r="24" spans="1:16" ht="15" x14ac:dyDescent="0.25">
      <c r="A24" s="23" t="s">
        <v>44</v>
      </c>
      <c r="B24" s="68">
        <v>427.28</v>
      </c>
      <c r="C24" s="68">
        <v>460</v>
      </c>
      <c r="D24" s="68">
        <v>291.88</v>
      </c>
      <c r="E24" s="88" t="s">
        <v>77</v>
      </c>
      <c r="F24" s="68">
        <v>376.07499999999999</v>
      </c>
      <c r="G24" s="68">
        <v>296.25</v>
      </c>
      <c r="I24" s="89"/>
      <c r="J24" s="93"/>
      <c r="K24" s="91"/>
      <c r="L24" s="89"/>
      <c r="M24" s="89"/>
      <c r="O24" s="91"/>
    </row>
    <row r="25" spans="1:16" ht="15" x14ac:dyDescent="0.2">
      <c r="A25" s="23" t="s">
        <v>46</v>
      </c>
      <c r="B25" s="68">
        <v>410.02</v>
      </c>
      <c r="C25" s="68">
        <v>456</v>
      </c>
      <c r="D25" s="68">
        <v>279.5</v>
      </c>
      <c r="E25" s="88" t="s">
        <v>77</v>
      </c>
      <c r="F25" s="68">
        <v>365.14</v>
      </c>
      <c r="G25" s="68">
        <v>322</v>
      </c>
      <c r="I25" s="89"/>
      <c r="J25" s="23"/>
      <c r="K25" s="89"/>
      <c r="L25" s="89"/>
      <c r="M25" s="89"/>
      <c r="O25" s="91"/>
    </row>
    <row r="26" spans="1:16" ht="15" x14ac:dyDescent="0.25">
      <c r="A26" s="23" t="s">
        <v>47</v>
      </c>
      <c r="B26" s="68">
        <v>413.36</v>
      </c>
      <c r="C26" s="68">
        <v>415</v>
      </c>
      <c r="D26" s="68">
        <v>258.125</v>
      </c>
      <c r="E26" s="88" t="s">
        <v>77</v>
      </c>
      <c r="F26" s="68">
        <v>377.57499999999999</v>
      </c>
      <c r="G26" s="68">
        <v>318.75</v>
      </c>
      <c r="I26" s="41"/>
      <c r="J26" s="23"/>
      <c r="K26" s="89"/>
      <c r="L26" s="89"/>
      <c r="M26" s="89"/>
      <c r="O26" s="91"/>
    </row>
    <row r="27" spans="1:16" ht="15" x14ac:dyDescent="0.2">
      <c r="A27" s="23" t="s">
        <v>48</v>
      </c>
      <c r="B27" s="68">
        <v>421.03</v>
      </c>
      <c r="C27" s="68">
        <v>360.625</v>
      </c>
      <c r="D27" s="68">
        <v>265</v>
      </c>
      <c r="E27" s="88" t="s">
        <v>77</v>
      </c>
      <c r="F27" s="68">
        <v>391.45</v>
      </c>
      <c r="G27" s="68">
        <v>335.63</v>
      </c>
      <c r="I27" s="19"/>
      <c r="J27" s="23"/>
      <c r="K27" s="89"/>
      <c r="L27" s="89"/>
      <c r="M27" s="89"/>
      <c r="O27" s="91"/>
    </row>
    <row r="28" spans="1:16" ht="15" x14ac:dyDescent="0.2">
      <c r="A28" s="23" t="s">
        <v>50</v>
      </c>
      <c r="B28" s="68">
        <v>378.18</v>
      </c>
      <c r="C28" s="68">
        <v>337.5</v>
      </c>
      <c r="D28" s="68">
        <v>252.5</v>
      </c>
      <c r="E28" s="88" t="s">
        <v>77</v>
      </c>
      <c r="F28" s="68">
        <v>345.9</v>
      </c>
      <c r="G28" s="68">
        <v>293.5</v>
      </c>
      <c r="I28" s="19"/>
      <c r="J28" s="23"/>
      <c r="K28" s="89"/>
      <c r="L28" s="89"/>
      <c r="M28" s="89"/>
      <c r="O28" s="91"/>
    </row>
    <row r="29" spans="1:16" ht="15" x14ac:dyDescent="0.2">
      <c r="A29" s="23" t="s">
        <v>51</v>
      </c>
      <c r="B29" s="68">
        <v>365.23</v>
      </c>
      <c r="C29" s="68">
        <v>321.875</v>
      </c>
      <c r="D29" s="68">
        <v>206.25</v>
      </c>
      <c r="E29" s="88" t="s">
        <v>77</v>
      </c>
      <c r="F29" s="68">
        <v>326.67499999999995</v>
      </c>
      <c r="G29" s="68">
        <v>262.5</v>
      </c>
      <c r="I29" s="19"/>
      <c r="J29" s="23"/>
      <c r="K29" s="89"/>
      <c r="L29" s="89"/>
      <c r="M29" s="89"/>
      <c r="O29" s="91"/>
    </row>
    <row r="30" spans="1:16" ht="15" x14ac:dyDescent="0.2">
      <c r="A30" s="23" t="s">
        <v>52</v>
      </c>
      <c r="B30" s="68">
        <v>358.21</v>
      </c>
      <c r="C30" s="68">
        <v>303</v>
      </c>
      <c r="D30" s="68">
        <v>219.5</v>
      </c>
      <c r="E30" s="88" t="s">
        <v>77</v>
      </c>
      <c r="F30" s="68">
        <v>329.45</v>
      </c>
      <c r="G30" s="68">
        <v>287.5</v>
      </c>
      <c r="I30" s="19"/>
      <c r="J30" s="23"/>
      <c r="K30" s="89"/>
      <c r="L30" s="89"/>
      <c r="M30" s="89"/>
      <c r="O30" s="91"/>
    </row>
    <row r="31" spans="1:16" ht="15" x14ac:dyDescent="0.2">
      <c r="A31" s="23" t="s">
        <v>38</v>
      </c>
      <c r="B31" s="68">
        <v>343.55</v>
      </c>
      <c r="C31" s="68">
        <v>305</v>
      </c>
      <c r="D31" s="68">
        <v>221.25</v>
      </c>
      <c r="E31" s="88" t="s">
        <v>77</v>
      </c>
      <c r="F31" s="68">
        <v>322.96249999999998</v>
      </c>
      <c r="G31" s="68">
        <v>260</v>
      </c>
      <c r="I31" s="19"/>
      <c r="J31" s="23"/>
      <c r="K31" s="89"/>
      <c r="L31" s="89"/>
      <c r="M31" s="89"/>
      <c r="O31" s="91"/>
    </row>
    <row r="32" spans="1:16" ht="14.25" x14ac:dyDescent="0.2">
      <c r="A32" s="23"/>
      <c r="B32" s="68"/>
      <c r="C32" s="68"/>
      <c r="D32" s="68"/>
      <c r="E32" s="68"/>
      <c r="F32" s="68"/>
      <c r="G32" s="68"/>
      <c r="H32" s="68"/>
      <c r="I32" s="68"/>
    </row>
    <row r="33" spans="1:13" ht="15" x14ac:dyDescent="0.25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13" ht="14.25" x14ac:dyDescent="0.2">
      <c r="A34" s="23" t="s">
        <v>39</v>
      </c>
      <c r="B34" s="68">
        <v>325.43</v>
      </c>
      <c r="C34" s="68">
        <v>298.75</v>
      </c>
      <c r="D34" s="68">
        <v>222.5</v>
      </c>
      <c r="E34" s="88" t="s">
        <v>77</v>
      </c>
      <c r="F34" s="68">
        <v>322.82499999999999</v>
      </c>
      <c r="G34" s="68">
        <v>265.625</v>
      </c>
      <c r="H34" s="68"/>
      <c r="I34" s="68"/>
    </row>
    <row r="35" spans="1:13" ht="14.25" x14ac:dyDescent="0.2">
      <c r="A35" s="17" t="s">
        <v>40</v>
      </c>
      <c r="B35" s="16">
        <v>358.73</v>
      </c>
      <c r="C35" s="16">
        <v>304.5</v>
      </c>
      <c r="D35" s="16">
        <v>256.5</v>
      </c>
      <c r="E35" s="134" t="s">
        <v>77</v>
      </c>
      <c r="F35" s="16">
        <v>350.21999999999997</v>
      </c>
      <c r="G35" s="16">
        <v>252</v>
      </c>
      <c r="H35" s="68"/>
      <c r="I35" s="68"/>
    </row>
    <row r="36" spans="1:13" ht="16.5" x14ac:dyDescent="0.2">
      <c r="A36" s="58" t="s">
        <v>154</v>
      </c>
      <c r="B36" s="94"/>
      <c r="C36" s="94"/>
      <c r="D36" s="94"/>
      <c r="E36" s="94"/>
      <c r="F36" s="94"/>
      <c r="G36" s="94"/>
      <c r="I36" s="19"/>
      <c r="J36" s="89"/>
      <c r="K36" s="89"/>
      <c r="L36" s="89"/>
    </row>
    <row r="37" spans="1:13" ht="16.5" x14ac:dyDescent="0.2">
      <c r="A37" s="58" t="s">
        <v>155</v>
      </c>
      <c r="B37" s="95"/>
      <c r="C37" s="95"/>
      <c r="D37" s="95"/>
      <c r="E37" s="95"/>
      <c r="F37" s="95"/>
      <c r="G37" s="95"/>
      <c r="I37" s="19"/>
      <c r="J37" s="68"/>
      <c r="K37" s="89"/>
      <c r="L37" s="89"/>
      <c r="M37" s="89"/>
    </row>
    <row r="38" spans="1:13" ht="14.25" x14ac:dyDescent="0.2">
      <c r="A38" s="19"/>
      <c r="B38" s="95"/>
      <c r="C38" s="95"/>
      <c r="D38" s="95"/>
      <c r="E38" s="95"/>
      <c r="F38" s="95"/>
      <c r="G38" s="95"/>
      <c r="H38" s="59"/>
      <c r="I38" s="23"/>
      <c r="J38" s="68"/>
      <c r="K38" s="89"/>
      <c r="L38" s="89"/>
      <c r="M38" s="89"/>
    </row>
    <row r="39" spans="1:13" ht="14.25" x14ac:dyDescent="0.2">
      <c r="A39" s="19" t="s">
        <v>156</v>
      </c>
      <c r="B39" s="19"/>
      <c r="C39" s="19"/>
      <c r="D39" s="19"/>
      <c r="E39" s="19"/>
      <c r="F39" s="95"/>
      <c r="G39" s="95"/>
      <c r="I39" s="23"/>
      <c r="J39" s="68"/>
      <c r="K39" s="89"/>
      <c r="L39" s="89"/>
      <c r="M39" s="89"/>
    </row>
    <row r="40" spans="1:13" ht="14.25" x14ac:dyDescent="0.2">
      <c r="A40" s="25" t="s">
        <v>58</v>
      </c>
      <c r="B40" s="50">
        <f ca="1">NOW()</f>
        <v>44540.67973773148</v>
      </c>
      <c r="C40" s="19"/>
      <c r="D40" s="19"/>
      <c r="E40" s="19"/>
      <c r="F40" s="95"/>
      <c r="G40" s="95"/>
      <c r="I40" s="23"/>
      <c r="J40" s="68"/>
      <c r="K40" s="96"/>
      <c r="L40" s="96"/>
      <c r="M40" s="96"/>
    </row>
    <row r="41" spans="1:13" ht="14.25" x14ac:dyDescent="0.2">
      <c r="F41" s="95"/>
      <c r="G41" s="95"/>
      <c r="I41" s="23"/>
      <c r="J41" s="68"/>
      <c r="K41" s="96"/>
      <c r="L41" s="96"/>
      <c r="M41" s="96"/>
    </row>
    <row r="42" spans="1:13" ht="14.25" x14ac:dyDescent="0.2">
      <c r="F42" s="95"/>
      <c r="G42" s="95"/>
      <c r="I42" s="23"/>
      <c r="J42" s="68"/>
      <c r="K42" s="89"/>
      <c r="L42" s="89"/>
      <c r="M42" s="89"/>
    </row>
    <row r="43" spans="1:13" x14ac:dyDescent="0.2">
      <c r="I43" s="97"/>
      <c r="J43" s="97"/>
      <c r="K43" s="89"/>
      <c r="L43" s="89"/>
      <c r="M43" s="89"/>
    </row>
    <row r="44" spans="1:13" x14ac:dyDescent="0.2">
      <c r="I44" s="98"/>
      <c r="J44" s="98"/>
      <c r="K44" s="89"/>
      <c r="L44" s="89"/>
      <c r="M44" s="89"/>
    </row>
    <row r="45" spans="1:13" x14ac:dyDescent="0.2">
      <c r="I45" s="98"/>
      <c r="J45" s="98"/>
      <c r="K45" s="89"/>
      <c r="L45" s="89"/>
      <c r="M45" s="89"/>
    </row>
    <row r="46" spans="1:13" x14ac:dyDescent="0.2">
      <c r="I46" s="98"/>
      <c r="J46" s="98"/>
      <c r="K46" s="89"/>
      <c r="L46" s="89"/>
      <c r="M46" s="89"/>
    </row>
    <row r="47" spans="1:13" x14ac:dyDescent="0.2">
      <c r="I47" s="98"/>
      <c r="J47" s="98"/>
      <c r="K47" s="89"/>
      <c r="L47" s="89"/>
      <c r="M47" s="89"/>
    </row>
    <row r="49" spans="9:13" x14ac:dyDescent="0.2">
      <c r="I49" s="99"/>
      <c r="J49" s="99"/>
      <c r="K49" s="99"/>
      <c r="L49" s="99"/>
      <c r="M49" s="99"/>
    </row>
    <row r="50" spans="9:13" x14ac:dyDescent="0.2">
      <c r="I50" s="99"/>
      <c r="J50" s="99"/>
      <c r="K50" s="99"/>
      <c r="L50" s="99"/>
      <c r="M50" s="99"/>
    </row>
    <row r="51" spans="9:13" x14ac:dyDescent="0.2">
      <c r="J51" s="99"/>
    </row>
  </sheetData>
  <phoneticPr fontId="1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614F-86D5-499D-A4F0-1FA417923D2A}">
  <dimension ref="A1:E43"/>
  <sheetViews>
    <sheetView topLeftCell="B1" zoomScaleNormal="100" workbookViewId="0">
      <selection activeCell="B1" sqref="B1"/>
    </sheetView>
  </sheetViews>
  <sheetFormatPr defaultColWidth="8.85546875" defaultRowHeight="12.75" x14ac:dyDescent="0.2"/>
  <cols>
    <col min="1" max="1" width="10.42578125" style="127" customWidth="1"/>
    <col min="2" max="2" width="7.7109375" style="127" bestFit="1" customWidth="1"/>
    <col min="3" max="4" width="8.85546875" style="127"/>
    <col min="5" max="5" width="10.7109375" style="127" customWidth="1"/>
    <col min="6" max="16384" width="8.85546875" style="127"/>
  </cols>
  <sheetData>
    <row r="1" spans="1:5" ht="38.25" x14ac:dyDescent="0.2">
      <c r="A1" s="126" t="s">
        <v>157</v>
      </c>
      <c r="B1" s="126" t="s">
        <v>158</v>
      </c>
      <c r="C1" s="126" t="s">
        <v>164</v>
      </c>
      <c r="D1" s="126" t="s">
        <v>29</v>
      </c>
      <c r="E1" s="126" t="s">
        <v>25</v>
      </c>
    </row>
    <row r="2" spans="1:5" x14ac:dyDescent="0.2">
      <c r="A2" s="128" t="s">
        <v>118</v>
      </c>
      <c r="B2" s="130">
        <v>7333.71</v>
      </c>
      <c r="C2" s="130">
        <v>14046.500607507569</v>
      </c>
      <c r="D2" s="130">
        <v>2443.0375649191838</v>
      </c>
      <c r="E2" s="130">
        <v>23772.428</v>
      </c>
    </row>
    <row r="3" spans="1:5" x14ac:dyDescent="0.2">
      <c r="A3" s="128" t="s">
        <v>119</v>
      </c>
      <c r="B3" s="130">
        <v>8663.2999999999993</v>
      </c>
      <c r="C3" s="130">
        <v>14210.857005018133</v>
      </c>
      <c r="D3" s="130">
        <v>1940.4219679927719</v>
      </c>
      <c r="E3" s="130">
        <v>24197.199000000001</v>
      </c>
    </row>
    <row r="4" spans="1:5" x14ac:dyDescent="0.2">
      <c r="A4" s="128" t="s">
        <v>33</v>
      </c>
      <c r="B4" s="130">
        <v>8657.82</v>
      </c>
      <c r="C4" s="130">
        <v>13659.14198267788</v>
      </c>
      <c r="D4" s="130">
        <v>2836.6907911634057</v>
      </c>
      <c r="E4" s="130">
        <v>24911.125</v>
      </c>
    </row>
    <row r="5" spans="1:5" x14ac:dyDescent="0.2">
      <c r="A5" s="128" t="s">
        <v>37</v>
      </c>
      <c r="B5" s="130">
        <v>8850</v>
      </c>
      <c r="C5" s="130">
        <v>14426.981507567336</v>
      </c>
      <c r="D5" s="130">
        <v>1723.4987866846579</v>
      </c>
      <c r="E5" s="130">
        <v>25022.667000000001</v>
      </c>
    </row>
    <row r="6" spans="1:5" x14ac:dyDescent="0.2">
      <c r="A6" s="128" t="s">
        <v>54</v>
      </c>
      <c r="B6" s="130">
        <v>11000</v>
      </c>
      <c r="C6" s="130">
        <v>14150</v>
      </c>
      <c r="D6" s="130">
        <v>1250</v>
      </c>
      <c r="E6" s="130">
        <v>25735</v>
      </c>
    </row>
    <row r="7" spans="1:5" x14ac:dyDescent="0.2">
      <c r="A7" s="128"/>
      <c r="B7" s="131"/>
    </row>
    <row r="8" spans="1:5" x14ac:dyDescent="0.2">
      <c r="A8" s="128"/>
      <c r="B8" s="129"/>
    </row>
    <row r="9" spans="1:5" x14ac:dyDescent="0.2">
      <c r="A9" s="128"/>
      <c r="B9" s="129"/>
    </row>
    <row r="10" spans="1:5" x14ac:dyDescent="0.2">
      <c r="B10" s="129"/>
    </row>
    <row r="11" spans="1:5" x14ac:dyDescent="0.2">
      <c r="B11" s="129"/>
    </row>
    <row r="12" spans="1:5" x14ac:dyDescent="0.2">
      <c r="B12" s="129"/>
    </row>
    <row r="13" spans="1:5" x14ac:dyDescent="0.2">
      <c r="B13" s="129"/>
    </row>
    <row r="14" spans="1:5" x14ac:dyDescent="0.2">
      <c r="B14" s="129"/>
    </row>
    <row r="15" spans="1:5" x14ac:dyDescent="0.2">
      <c r="B15" s="129"/>
    </row>
    <row r="16" spans="1:5" x14ac:dyDescent="0.2">
      <c r="B16" s="129"/>
    </row>
    <row r="17" spans="2:2" x14ac:dyDescent="0.2">
      <c r="B17" s="130"/>
    </row>
    <row r="18" spans="2:2" x14ac:dyDescent="0.2">
      <c r="B18" s="130"/>
    </row>
    <row r="19" spans="2:2" x14ac:dyDescent="0.2">
      <c r="B19" s="130"/>
    </row>
    <row r="20" spans="2:2" x14ac:dyDescent="0.2">
      <c r="B20" s="130"/>
    </row>
    <row r="21" spans="2:2" x14ac:dyDescent="0.2">
      <c r="B21" s="130"/>
    </row>
    <row r="22" spans="2:2" x14ac:dyDescent="0.2">
      <c r="B22" s="130"/>
    </row>
    <row r="23" spans="2:2" x14ac:dyDescent="0.2">
      <c r="B23" s="130"/>
    </row>
    <row r="24" spans="2:2" x14ac:dyDescent="0.2">
      <c r="B24" s="130"/>
    </row>
    <row r="25" spans="2:2" x14ac:dyDescent="0.2">
      <c r="B25" s="130"/>
    </row>
    <row r="26" spans="2:2" x14ac:dyDescent="0.2">
      <c r="B26" s="130"/>
    </row>
    <row r="27" spans="2:2" x14ac:dyDescent="0.2">
      <c r="B27" s="130"/>
    </row>
    <row r="28" spans="2:2" x14ac:dyDescent="0.2">
      <c r="B28" s="130"/>
    </row>
    <row r="29" spans="2:2" x14ac:dyDescent="0.2">
      <c r="B29" s="130"/>
    </row>
    <row r="30" spans="2:2" x14ac:dyDescent="0.2">
      <c r="B30" s="130"/>
    </row>
    <row r="31" spans="2:2" x14ac:dyDescent="0.2">
      <c r="B31" s="130"/>
    </row>
    <row r="32" spans="2:2" x14ac:dyDescent="0.2">
      <c r="B32" s="130"/>
    </row>
    <row r="33" spans="2:2" x14ac:dyDescent="0.2">
      <c r="B33" s="130"/>
    </row>
    <row r="34" spans="2:2" x14ac:dyDescent="0.2">
      <c r="B34" s="130"/>
    </row>
    <row r="35" spans="2:2" x14ac:dyDescent="0.2">
      <c r="B35" s="130"/>
    </row>
    <row r="36" spans="2:2" x14ac:dyDescent="0.2">
      <c r="B36" s="130"/>
    </row>
    <row r="37" spans="2:2" x14ac:dyDescent="0.2">
      <c r="B37" s="130"/>
    </row>
    <row r="38" spans="2:2" x14ac:dyDescent="0.2">
      <c r="B38" s="130"/>
    </row>
    <row r="39" spans="2:2" x14ac:dyDescent="0.2">
      <c r="B39" s="130"/>
    </row>
    <row r="40" spans="2:2" x14ac:dyDescent="0.2">
      <c r="B40" s="130"/>
    </row>
    <row r="41" spans="2:2" x14ac:dyDescent="0.2">
      <c r="B41" s="130"/>
    </row>
    <row r="42" spans="2:2" x14ac:dyDescent="0.2">
      <c r="B42" s="130"/>
    </row>
    <row r="43" spans="2:2" x14ac:dyDescent="0.2">
      <c r="B43" s="1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746D-7AA0-4336-B54C-68FB16ED45FB}">
  <dimension ref="A1:D93"/>
  <sheetViews>
    <sheetView zoomScaleNormal="100" workbookViewId="0"/>
  </sheetViews>
  <sheetFormatPr defaultColWidth="9.140625" defaultRowHeight="12.75" x14ac:dyDescent="0.2"/>
  <cols>
    <col min="1" max="1" width="7.140625" style="137" bestFit="1" customWidth="1"/>
    <col min="2" max="2" width="8.85546875" style="137" bestFit="1" customWidth="1"/>
    <col min="3" max="3" width="17.42578125" style="137" customWidth="1"/>
    <col min="4" max="4" width="9.85546875" style="137" customWidth="1"/>
    <col min="5" max="16384" width="9.140625" style="137"/>
  </cols>
  <sheetData>
    <row r="1" spans="1:4" ht="25.5" x14ac:dyDescent="0.2">
      <c r="A1" s="138" t="s">
        <v>159</v>
      </c>
      <c r="B1" s="138" t="s">
        <v>160</v>
      </c>
      <c r="C1" s="126" t="s">
        <v>165</v>
      </c>
      <c r="D1" s="126" t="s">
        <v>166</v>
      </c>
    </row>
    <row r="2" spans="1:4" x14ac:dyDescent="0.2">
      <c r="A2" s="136">
        <v>41640</v>
      </c>
      <c r="B2" s="147">
        <v>72.540000000000006</v>
      </c>
      <c r="C2" s="147">
        <v>10.329000000000001</v>
      </c>
      <c r="D2" s="147">
        <v>0.92800000000000005</v>
      </c>
    </row>
    <row r="3" spans="1:4" x14ac:dyDescent="0.2">
      <c r="A3" s="136">
        <v>41671</v>
      </c>
      <c r="B3" s="147">
        <v>75.643000000000001</v>
      </c>
      <c r="C3" s="147">
        <v>12.292999999999999</v>
      </c>
      <c r="D3" s="147">
        <v>0.89</v>
      </c>
    </row>
    <row r="4" spans="1:4" x14ac:dyDescent="0.2">
      <c r="A4" s="136">
        <v>41699</v>
      </c>
      <c r="B4" s="147">
        <v>99.177999999999997</v>
      </c>
      <c r="C4" s="147">
        <v>14.952999999999999</v>
      </c>
      <c r="D4" s="147">
        <v>1.0069999999999999</v>
      </c>
    </row>
    <row r="5" spans="1:4" x14ac:dyDescent="0.2">
      <c r="A5" s="136">
        <v>41730</v>
      </c>
      <c r="B5" s="147">
        <v>93.352000000000004</v>
      </c>
      <c r="C5" s="147">
        <v>13.676</v>
      </c>
      <c r="D5" s="147">
        <v>0.89200000000000002</v>
      </c>
    </row>
    <row r="6" spans="1:4" x14ac:dyDescent="0.2">
      <c r="A6" s="136">
        <v>41760</v>
      </c>
      <c r="B6" s="147">
        <v>106.31399999999999</v>
      </c>
      <c r="C6" s="147">
        <v>16.219000000000001</v>
      </c>
      <c r="D6" s="147">
        <v>0.93700000000000006</v>
      </c>
    </row>
    <row r="7" spans="1:4" x14ac:dyDescent="0.2">
      <c r="A7" s="136">
        <v>41791</v>
      </c>
      <c r="B7" s="147">
        <v>111.07</v>
      </c>
      <c r="C7" s="147">
        <v>15.664999999999999</v>
      </c>
      <c r="D7" s="147">
        <v>0.92900000000000005</v>
      </c>
    </row>
    <row r="8" spans="1:4" x14ac:dyDescent="0.2">
      <c r="A8" s="136">
        <v>41821</v>
      </c>
      <c r="B8" s="147">
        <v>122.887</v>
      </c>
      <c r="C8" s="147">
        <v>13.997999999999999</v>
      </c>
      <c r="D8" s="147">
        <v>1.0649999999999999</v>
      </c>
    </row>
    <row r="9" spans="1:4" x14ac:dyDescent="0.2">
      <c r="A9" s="136">
        <v>41852</v>
      </c>
      <c r="B9" s="147">
        <v>125.437</v>
      </c>
      <c r="C9" s="147">
        <v>2.0430000000000001</v>
      </c>
      <c r="D9" s="147">
        <v>0.11700000000000001</v>
      </c>
    </row>
    <row r="10" spans="1:4" x14ac:dyDescent="0.2">
      <c r="A10" s="136">
        <v>41883</v>
      </c>
      <c r="B10" s="147">
        <v>115.67700000000001</v>
      </c>
      <c r="C10" s="147">
        <v>5.9489999999999998</v>
      </c>
      <c r="D10" s="147">
        <v>0.70099999999999996</v>
      </c>
    </row>
    <row r="11" spans="1:4" x14ac:dyDescent="0.2">
      <c r="A11" s="136">
        <v>41913</v>
      </c>
      <c r="B11" s="147">
        <v>122.988</v>
      </c>
      <c r="C11" s="147">
        <v>14.722</v>
      </c>
      <c r="D11" s="147">
        <v>1.6</v>
      </c>
    </row>
    <row r="12" spans="1:4" x14ac:dyDescent="0.2">
      <c r="A12" s="136">
        <v>41944</v>
      </c>
      <c r="B12" s="147">
        <v>109.639</v>
      </c>
      <c r="C12" s="147">
        <v>16.463000000000001</v>
      </c>
      <c r="D12" s="147">
        <v>1.3660000000000001</v>
      </c>
    </row>
    <row r="13" spans="1:4" x14ac:dyDescent="0.2">
      <c r="A13" s="136">
        <v>41974</v>
      </c>
      <c r="B13" s="147">
        <v>124.254</v>
      </c>
      <c r="C13" s="147">
        <v>22.831</v>
      </c>
      <c r="D13" s="147">
        <v>1.768</v>
      </c>
    </row>
    <row r="14" spans="1:4" x14ac:dyDescent="0.2">
      <c r="A14" s="136">
        <v>42005</v>
      </c>
      <c r="B14" s="147">
        <v>72.546000000000006</v>
      </c>
      <c r="C14" s="147">
        <v>17.504999999999999</v>
      </c>
      <c r="D14" s="147">
        <v>1.7709999999999999</v>
      </c>
    </row>
    <row r="15" spans="1:4" x14ac:dyDescent="0.2">
      <c r="A15" s="136">
        <v>42036</v>
      </c>
      <c r="B15" s="147">
        <v>77.736000000000004</v>
      </c>
      <c r="C15" s="147">
        <v>13.481</v>
      </c>
      <c r="D15" s="147">
        <v>1.349</v>
      </c>
    </row>
    <row r="16" spans="1:4" x14ac:dyDescent="0.2">
      <c r="A16" s="136">
        <v>42064</v>
      </c>
      <c r="B16" s="147">
        <v>97.673000000000002</v>
      </c>
      <c r="C16" s="147">
        <v>16.11</v>
      </c>
      <c r="D16" s="147">
        <v>1.1379999999999999</v>
      </c>
    </row>
    <row r="17" spans="1:4" x14ac:dyDescent="0.2">
      <c r="A17" s="136">
        <v>42095</v>
      </c>
      <c r="B17" s="147">
        <v>107.85</v>
      </c>
      <c r="C17" s="147">
        <v>15.733000000000001</v>
      </c>
      <c r="D17" s="147">
        <v>1.2470000000000001</v>
      </c>
    </row>
    <row r="18" spans="1:4" x14ac:dyDescent="0.2">
      <c r="A18" s="136">
        <v>42125</v>
      </c>
      <c r="B18" s="147">
        <v>116.94</v>
      </c>
      <c r="C18" s="147">
        <v>15.741</v>
      </c>
      <c r="D18" s="147">
        <v>1.508</v>
      </c>
    </row>
    <row r="19" spans="1:4" x14ac:dyDescent="0.2">
      <c r="A19" s="136">
        <v>42156</v>
      </c>
      <c r="B19" s="147">
        <v>121.824</v>
      </c>
      <c r="C19" s="147">
        <v>14.42</v>
      </c>
      <c r="D19" s="147">
        <v>1.145</v>
      </c>
    </row>
    <row r="20" spans="1:4" x14ac:dyDescent="0.2">
      <c r="A20" s="136">
        <v>42186</v>
      </c>
      <c r="B20" s="147">
        <v>121.07599999999999</v>
      </c>
      <c r="C20" s="147">
        <v>15.521000000000001</v>
      </c>
      <c r="D20" s="147">
        <v>1.571</v>
      </c>
    </row>
    <row r="21" spans="1:4" x14ac:dyDescent="0.2">
      <c r="A21" s="136">
        <v>42217</v>
      </c>
      <c r="B21" s="147">
        <v>123.176</v>
      </c>
      <c r="C21" s="147">
        <v>15.1</v>
      </c>
      <c r="D21" s="147">
        <v>1.5429999999999999</v>
      </c>
    </row>
    <row r="22" spans="1:4" x14ac:dyDescent="0.2">
      <c r="A22" s="136">
        <v>42248</v>
      </c>
      <c r="B22" s="147">
        <v>104.119</v>
      </c>
      <c r="C22" s="147">
        <v>13.846</v>
      </c>
      <c r="D22" s="147">
        <v>1.415</v>
      </c>
    </row>
    <row r="23" spans="1:4" x14ac:dyDescent="0.2">
      <c r="A23" s="136">
        <v>42278</v>
      </c>
      <c r="B23" s="147">
        <v>106.467</v>
      </c>
      <c r="C23" s="147">
        <v>13.414</v>
      </c>
      <c r="D23" s="147">
        <v>1.331</v>
      </c>
    </row>
    <row r="24" spans="1:4" x14ac:dyDescent="0.2">
      <c r="A24" s="136">
        <v>42309</v>
      </c>
      <c r="B24" s="147">
        <v>105.883</v>
      </c>
      <c r="C24" s="147">
        <v>12.656000000000001</v>
      </c>
      <c r="D24" s="147">
        <v>1.244</v>
      </c>
    </row>
    <row r="25" spans="1:4" x14ac:dyDescent="0.2">
      <c r="A25" s="136">
        <v>42339</v>
      </c>
      <c r="B25" s="147">
        <v>108.057</v>
      </c>
      <c r="C25" s="147">
        <v>13.321</v>
      </c>
      <c r="D25" s="147">
        <v>1.26</v>
      </c>
    </row>
    <row r="26" spans="1:4" x14ac:dyDescent="0.2">
      <c r="A26" s="136">
        <v>42370</v>
      </c>
      <c r="B26" s="147">
        <v>104.57599999999999</v>
      </c>
      <c r="C26" s="147">
        <v>11.757999999999999</v>
      </c>
      <c r="D26" s="147">
        <v>1.26</v>
      </c>
    </row>
    <row r="27" spans="1:4" x14ac:dyDescent="0.2">
      <c r="A27" s="136">
        <v>42401</v>
      </c>
      <c r="B27" s="147">
        <v>105.154</v>
      </c>
      <c r="C27" s="147">
        <v>7.3550000000000004</v>
      </c>
      <c r="D27" s="147">
        <v>0.76200000000000001</v>
      </c>
    </row>
    <row r="28" spans="1:4" x14ac:dyDescent="0.2">
      <c r="A28" s="136">
        <v>42430</v>
      </c>
      <c r="B28" s="147">
        <v>120.15900000000001</v>
      </c>
      <c r="C28" s="147">
        <v>17.925000000000001</v>
      </c>
      <c r="D28" s="147">
        <v>1.5149999999999999</v>
      </c>
    </row>
    <row r="29" spans="1:4" x14ac:dyDescent="0.2">
      <c r="A29" s="136">
        <v>42461</v>
      </c>
      <c r="B29" s="147">
        <v>119.95099999999999</v>
      </c>
      <c r="C29" s="147">
        <v>21.253</v>
      </c>
      <c r="D29" s="147">
        <v>1.1659999999999999</v>
      </c>
    </row>
    <row r="30" spans="1:4" x14ac:dyDescent="0.2">
      <c r="A30" s="136">
        <v>42491</v>
      </c>
      <c r="B30" s="147">
        <v>135.34399999999999</v>
      </c>
      <c r="C30" s="147">
        <v>21.933</v>
      </c>
      <c r="D30" s="147">
        <v>1.8280000000000001</v>
      </c>
    </row>
    <row r="31" spans="1:4" x14ac:dyDescent="0.2">
      <c r="A31" s="136">
        <v>42522</v>
      </c>
      <c r="B31" s="147">
        <v>134.62</v>
      </c>
      <c r="C31" s="147">
        <v>22.568999999999999</v>
      </c>
      <c r="D31" s="147">
        <v>1.766</v>
      </c>
    </row>
    <row r="32" spans="1:4" x14ac:dyDescent="0.2">
      <c r="A32" s="136">
        <v>42552</v>
      </c>
      <c r="B32" s="147">
        <v>139.887</v>
      </c>
      <c r="C32" s="147">
        <v>19.52</v>
      </c>
      <c r="D32" s="147">
        <v>1.643</v>
      </c>
    </row>
    <row r="33" spans="1:4" x14ac:dyDescent="0.2">
      <c r="A33" s="136">
        <v>42583</v>
      </c>
      <c r="B33" s="147">
        <v>142.17699999999999</v>
      </c>
      <c r="C33" s="147">
        <v>24.8</v>
      </c>
      <c r="D33" s="147">
        <v>2.121</v>
      </c>
    </row>
    <row r="34" spans="1:4" x14ac:dyDescent="0.2">
      <c r="A34" s="136">
        <v>42614</v>
      </c>
      <c r="B34" s="147">
        <v>134.667</v>
      </c>
      <c r="C34" s="147">
        <v>19.215</v>
      </c>
      <c r="D34" s="147">
        <v>1.901</v>
      </c>
    </row>
    <row r="35" spans="1:4" x14ac:dyDescent="0.2">
      <c r="A35" s="136">
        <v>42644</v>
      </c>
      <c r="B35" s="147">
        <v>144.19200000000001</v>
      </c>
      <c r="C35" s="147">
        <v>20.64</v>
      </c>
      <c r="D35" s="147">
        <v>1.9119999999999999</v>
      </c>
    </row>
    <row r="36" spans="1:4" x14ac:dyDescent="0.2">
      <c r="A36" s="136">
        <v>42675</v>
      </c>
      <c r="B36" s="147">
        <v>143.15199999999999</v>
      </c>
      <c r="C36" s="147">
        <v>27.361000000000001</v>
      </c>
      <c r="D36" s="147">
        <v>2.1389999999999998</v>
      </c>
    </row>
    <row r="37" spans="1:4" x14ac:dyDescent="0.2">
      <c r="A37" s="136">
        <v>42705</v>
      </c>
      <c r="B37" s="147">
        <v>143.851</v>
      </c>
      <c r="C37" s="147">
        <v>27.157</v>
      </c>
      <c r="D37" s="147">
        <v>3.133</v>
      </c>
    </row>
    <row r="38" spans="1:4" x14ac:dyDescent="0.2">
      <c r="A38" s="136">
        <v>42736</v>
      </c>
      <c r="B38" s="147">
        <v>92.757000000000005</v>
      </c>
      <c r="C38" s="147">
        <v>18.561</v>
      </c>
      <c r="D38" s="147">
        <v>2.1150000000000002</v>
      </c>
    </row>
    <row r="39" spans="1:4" x14ac:dyDescent="0.2">
      <c r="A39" s="136">
        <v>42767</v>
      </c>
      <c r="B39" s="147">
        <v>93.983000000000004</v>
      </c>
      <c r="C39" s="147">
        <v>21.042999999999999</v>
      </c>
      <c r="D39" s="147">
        <v>1.958</v>
      </c>
    </row>
    <row r="40" spans="1:4" x14ac:dyDescent="0.2">
      <c r="A40" s="136">
        <v>42795</v>
      </c>
      <c r="B40" s="147">
        <v>115.973</v>
      </c>
      <c r="C40" s="147">
        <v>15.856999999999999</v>
      </c>
      <c r="D40" s="147">
        <v>1.238</v>
      </c>
    </row>
    <row r="41" spans="1:4" x14ac:dyDescent="0.2">
      <c r="A41" s="136">
        <v>42826</v>
      </c>
      <c r="B41" s="147">
        <v>126.821</v>
      </c>
      <c r="C41" s="147">
        <v>20.402999999999999</v>
      </c>
      <c r="D41" s="147">
        <v>3.125</v>
      </c>
    </row>
    <row r="42" spans="1:4" x14ac:dyDescent="0.2">
      <c r="A42" s="136">
        <v>42856</v>
      </c>
      <c r="B42" s="147">
        <v>136.18100000000001</v>
      </c>
      <c r="C42" s="147">
        <v>24.393000000000001</v>
      </c>
      <c r="D42" s="147">
        <v>1.4910000000000001</v>
      </c>
    </row>
    <row r="43" spans="1:4" x14ac:dyDescent="0.2">
      <c r="A43" s="136">
        <v>42887</v>
      </c>
      <c r="B43" s="147">
        <v>140.459</v>
      </c>
      <c r="C43" s="147">
        <v>17.747</v>
      </c>
      <c r="D43" s="147">
        <v>1.5549999999999999</v>
      </c>
    </row>
    <row r="44" spans="1:4" x14ac:dyDescent="0.2">
      <c r="A44" s="136">
        <v>42917</v>
      </c>
      <c r="B44" s="147">
        <v>149.51300000000001</v>
      </c>
      <c r="C44" s="147">
        <v>19.652000000000001</v>
      </c>
      <c r="D44" s="147">
        <v>1.595</v>
      </c>
    </row>
    <row r="45" spans="1:4" x14ac:dyDescent="0.2">
      <c r="A45" s="136">
        <v>42948</v>
      </c>
      <c r="B45" s="147">
        <v>149.48599999999999</v>
      </c>
      <c r="C45" s="147">
        <v>24.672000000000001</v>
      </c>
      <c r="D45" s="147">
        <v>2.0139999999999998</v>
      </c>
    </row>
    <row r="46" spans="1:4" x14ac:dyDescent="0.2">
      <c r="A46" s="136">
        <v>42979</v>
      </c>
      <c r="B46" s="147">
        <v>147.29300000000001</v>
      </c>
      <c r="C46" s="147">
        <v>21.966999999999999</v>
      </c>
      <c r="D46" s="147">
        <v>2.0630000000000002</v>
      </c>
    </row>
    <row r="47" spans="1:4" x14ac:dyDescent="0.2">
      <c r="A47" s="136">
        <v>43009</v>
      </c>
      <c r="B47" s="147">
        <v>147.624</v>
      </c>
      <c r="C47" s="147">
        <v>25.347000000000001</v>
      </c>
      <c r="D47" s="147">
        <v>2.0289999999999999</v>
      </c>
    </row>
    <row r="48" spans="1:4" x14ac:dyDescent="0.2">
      <c r="A48" s="136">
        <v>43040</v>
      </c>
      <c r="B48" s="147">
        <v>147.97999999999999</v>
      </c>
      <c r="C48" s="147">
        <v>23.177</v>
      </c>
      <c r="D48" s="147">
        <v>2.0630000000000002</v>
      </c>
    </row>
    <row r="49" spans="1:4" x14ac:dyDescent="0.2">
      <c r="A49" s="136">
        <v>43070</v>
      </c>
      <c r="B49" s="147">
        <v>147.63900000000001</v>
      </c>
      <c r="C49" s="147">
        <v>25.524000000000001</v>
      </c>
      <c r="D49" s="147">
        <v>2.7080000000000002</v>
      </c>
    </row>
    <row r="50" spans="1:4" x14ac:dyDescent="0.2">
      <c r="A50" s="136">
        <v>43101</v>
      </c>
      <c r="B50" s="147">
        <v>125.52500000000001</v>
      </c>
      <c r="C50" s="147">
        <v>13.680999999999999</v>
      </c>
      <c r="D50" s="147">
        <v>2.1579999999999999</v>
      </c>
    </row>
    <row r="51" spans="1:4" x14ac:dyDescent="0.2">
      <c r="A51" s="136">
        <v>43132</v>
      </c>
      <c r="B51" s="147">
        <v>127.94499999999999</v>
      </c>
      <c r="C51" s="147">
        <v>21.605</v>
      </c>
      <c r="D51" s="147">
        <v>2.4329999999999998</v>
      </c>
    </row>
    <row r="52" spans="1:4" x14ac:dyDescent="0.2">
      <c r="A52" s="136">
        <v>43160</v>
      </c>
      <c r="B52" s="147">
        <v>149.12700000000001</v>
      </c>
      <c r="C52" s="147">
        <v>25.068000000000001</v>
      </c>
      <c r="D52" s="147">
        <v>2.7309999999999999</v>
      </c>
    </row>
    <row r="53" spans="1:4" x14ac:dyDescent="0.2">
      <c r="A53" s="136">
        <v>43191</v>
      </c>
      <c r="B53" s="147">
        <v>142.52500000000001</v>
      </c>
      <c r="C53" s="147">
        <v>25.751000000000001</v>
      </c>
      <c r="D53" s="147">
        <v>2.16</v>
      </c>
    </row>
    <row r="54" spans="1:4" x14ac:dyDescent="0.2">
      <c r="A54" s="136">
        <v>43221</v>
      </c>
      <c r="B54" s="147">
        <v>151.31200000000001</v>
      </c>
      <c r="C54" s="147">
        <v>21.507999999999999</v>
      </c>
      <c r="D54" s="147">
        <v>2.0289999999999999</v>
      </c>
    </row>
    <row r="55" spans="1:4" x14ac:dyDescent="0.2">
      <c r="A55" s="136">
        <v>43252</v>
      </c>
      <c r="B55" s="147">
        <v>158.86699999999999</v>
      </c>
      <c r="C55" s="147">
        <v>12.384</v>
      </c>
      <c r="D55" s="147">
        <v>0.47499999999999998</v>
      </c>
    </row>
    <row r="56" spans="1:4" x14ac:dyDescent="0.2">
      <c r="A56" s="136">
        <v>43282</v>
      </c>
      <c r="B56" s="147">
        <v>166.33099999999999</v>
      </c>
      <c r="C56" s="147">
        <v>10.554</v>
      </c>
      <c r="D56" s="147">
        <v>0.14399999999999999</v>
      </c>
    </row>
    <row r="57" spans="1:4" x14ac:dyDescent="0.2">
      <c r="A57" s="136">
        <v>43313</v>
      </c>
      <c r="B57" s="147">
        <v>172.28</v>
      </c>
      <c r="C57" s="147">
        <v>16.024999999999999</v>
      </c>
      <c r="D57" s="147">
        <v>1.8520000000000001</v>
      </c>
    </row>
    <row r="58" spans="1:4" x14ac:dyDescent="0.2">
      <c r="A58" s="136">
        <v>43344</v>
      </c>
      <c r="B58" s="147">
        <v>164.39599999999999</v>
      </c>
      <c r="C58" s="147">
        <v>32.247999999999998</v>
      </c>
      <c r="D58" s="147">
        <v>2.9820000000000002</v>
      </c>
    </row>
    <row r="59" spans="1:4" x14ac:dyDescent="0.2">
      <c r="A59" s="136">
        <v>43374</v>
      </c>
      <c r="B59" s="147">
        <v>170.952</v>
      </c>
      <c r="C59" s="147">
        <v>39.005000000000003</v>
      </c>
      <c r="D59" s="147">
        <v>2.544</v>
      </c>
    </row>
    <row r="60" spans="1:4" x14ac:dyDescent="0.2">
      <c r="A60" s="136">
        <v>43405</v>
      </c>
      <c r="B60" s="147">
        <v>160.273</v>
      </c>
      <c r="C60" s="147">
        <v>40.325000000000003</v>
      </c>
      <c r="D60" s="147">
        <v>2.72</v>
      </c>
    </row>
    <row r="61" spans="1:4" x14ac:dyDescent="0.2">
      <c r="A61" s="136">
        <v>43435</v>
      </c>
      <c r="B61" s="147">
        <v>167.785</v>
      </c>
      <c r="C61" s="147">
        <v>47.33</v>
      </c>
      <c r="D61" s="147">
        <v>3.4329999999999998</v>
      </c>
    </row>
    <row r="62" spans="1:4" x14ac:dyDescent="0.2">
      <c r="A62" s="136">
        <v>43466</v>
      </c>
      <c r="B62" s="147">
        <v>143.917</v>
      </c>
      <c r="C62" s="147">
        <v>36.487000000000002</v>
      </c>
      <c r="D62" s="147">
        <v>2.4940000000000002</v>
      </c>
    </row>
    <row r="63" spans="1:4" x14ac:dyDescent="0.2">
      <c r="A63" s="136">
        <v>43497</v>
      </c>
      <c r="B63" s="147">
        <v>130.529</v>
      </c>
      <c r="C63" s="147">
        <v>40.173999999999999</v>
      </c>
      <c r="D63" s="147">
        <v>2.7759999999999998</v>
      </c>
    </row>
    <row r="64" spans="1:4" x14ac:dyDescent="0.2">
      <c r="A64" s="136">
        <v>43525</v>
      </c>
      <c r="B64" s="147">
        <v>140.82499999999999</v>
      </c>
      <c r="C64" s="147">
        <v>35.74</v>
      </c>
      <c r="D64" s="147">
        <v>3.3780000000000001</v>
      </c>
    </row>
    <row r="65" spans="1:4" x14ac:dyDescent="0.2">
      <c r="A65" s="136">
        <v>43556</v>
      </c>
      <c r="B65" s="147">
        <v>152.149</v>
      </c>
      <c r="C65" s="147">
        <v>38.557000000000002</v>
      </c>
      <c r="D65" s="147">
        <v>2.7810000000000001</v>
      </c>
    </row>
    <row r="66" spans="1:4" x14ac:dyDescent="0.2">
      <c r="A66" s="136">
        <v>43586</v>
      </c>
      <c r="B66" s="147">
        <v>154.59</v>
      </c>
      <c r="C66" s="147">
        <v>40.383000000000003</v>
      </c>
      <c r="D66" s="147">
        <v>3.3889999999999998</v>
      </c>
    </row>
    <row r="67" spans="1:4" x14ac:dyDescent="0.2">
      <c r="A67" s="136">
        <v>43617</v>
      </c>
      <c r="B67" s="147">
        <v>141.553</v>
      </c>
      <c r="C67" s="147">
        <v>39.761000000000003</v>
      </c>
      <c r="D67" s="147">
        <v>2.0230000000000001</v>
      </c>
    </row>
    <row r="68" spans="1:4" x14ac:dyDescent="0.2">
      <c r="A68" s="136">
        <v>43647</v>
      </c>
      <c r="B68" s="147">
        <v>158.61000000000001</v>
      </c>
      <c r="C68" s="147">
        <v>46.281999999999996</v>
      </c>
      <c r="D68" s="147">
        <v>2.4430000000000001</v>
      </c>
    </row>
    <row r="69" spans="1:4" x14ac:dyDescent="0.2">
      <c r="A69" s="136">
        <v>43678</v>
      </c>
      <c r="B69" s="147">
        <v>155.898</v>
      </c>
      <c r="C69" s="147">
        <v>30.18</v>
      </c>
      <c r="D69" s="147">
        <v>1.4430000000000001</v>
      </c>
    </row>
    <row r="70" spans="1:4" x14ac:dyDescent="0.2">
      <c r="A70" s="136">
        <v>43709</v>
      </c>
      <c r="B70" s="147">
        <v>141.846</v>
      </c>
      <c r="C70" s="147">
        <v>40.692</v>
      </c>
      <c r="D70" s="147">
        <v>2.915</v>
      </c>
    </row>
    <row r="71" spans="1:4" x14ac:dyDescent="0.2">
      <c r="A71" s="136">
        <v>43739</v>
      </c>
      <c r="B71" s="147">
        <v>144.31399999999999</v>
      </c>
      <c r="C71" s="147">
        <v>48.569000000000003</v>
      </c>
      <c r="D71" s="147">
        <v>2.3490000000000002</v>
      </c>
    </row>
    <row r="72" spans="1:4" x14ac:dyDescent="0.2">
      <c r="A72" s="136">
        <v>43770</v>
      </c>
      <c r="B72" s="147">
        <v>127.42400000000001</v>
      </c>
      <c r="C72" s="147">
        <v>42.389000000000003</v>
      </c>
      <c r="D72" s="147">
        <v>2.8690000000000002</v>
      </c>
    </row>
    <row r="73" spans="1:4" x14ac:dyDescent="0.2">
      <c r="A73" s="136">
        <v>43800</v>
      </c>
      <c r="B73" s="147">
        <v>132.85</v>
      </c>
      <c r="C73" s="147">
        <v>52.795999999999999</v>
      </c>
      <c r="D73" s="147">
        <v>4.367</v>
      </c>
    </row>
    <row r="74" spans="1:4" x14ac:dyDescent="0.2">
      <c r="A74" s="136">
        <v>43831</v>
      </c>
      <c r="B74" s="147">
        <v>134.233</v>
      </c>
      <c r="C74" s="147">
        <v>41.856999999999999</v>
      </c>
      <c r="D74" s="147">
        <v>2.3279999999999998</v>
      </c>
    </row>
    <row r="75" spans="1:4" x14ac:dyDescent="0.2">
      <c r="A75" s="136">
        <v>43862</v>
      </c>
      <c r="B75" s="147">
        <v>131.82900000000001</v>
      </c>
      <c r="C75" s="147">
        <v>37.301000000000002</v>
      </c>
      <c r="D75" s="147">
        <v>2.3069999999999999</v>
      </c>
    </row>
    <row r="76" spans="1:4" x14ac:dyDescent="0.2">
      <c r="A76" s="136">
        <v>43891</v>
      </c>
      <c r="B76" s="147">
        <v>150.94499999999999</v>
      </c>
      <c r="C76" s="147">
        <v>45.226999999999997</v>
      </c>
      <c r="D76" s="147">
        <v>3.1549999999999998</v>
      </c>
    </row>
    <row r="77" spans="1:4" x14ac:dyDescent="0.2">
      <c r="A77" s="136">
        <v>43922</v>
      </c>
      <c r="B77" s="147">
        <v>143.72900000000001</v>
      </c>
      <c r="C77" s="147">
        <v>38.639000000000003</v>
      </c>
      <c r="D77" s="147">
        <v>3.21</v>
      </c>
    </row>
    <row r="78" spans="1:4" x14ac:dyDescent="0.2">
      <c r="A78" s="136">
        <v>43952</v>
      </c>
      <c r="B78" s="147">
        <v>152.47999999999999</v>
      </c>
      <c r="C78" s="147">
        <v>46.420999999999999</v>
      </c>
      <c r="D78" s="147">
        <v>2.3650000000000002</v>
      </c>
    </row>
    <row r="79" spans="1:4" x14ac:dyDescent="0.2">
      <c r="A79" s="136">
        <v>43983</v>
      </c>
      <c r="B79" s="147">
        <v>150.80000000000001</v>
      </c>
      <c r="C79" s="147">
        <v>53.207999999999998</v>
      </c>
      <c r="D79" s="147">
        <v>2.532</v>
      </c>
    </row>
    <row r="80" spans="1:4" x14ac:dyDescent="0.2">
      <c r="A80" s="136">
        <v>44013</v>
      </c>
      <c r="B80" s="147">
        <v>161.66900000000001</v>
      </c>
      <c r="C80" s="147">
        <v>46.683999999999997</v>
      </c>
      <c r="D80" s="147">
        <v>4.1269999999999998</v>
      </c>
    </row>
    <row r="81" spans="1:4" x14ac:dyDescent="0.2">
      <c r="A81" s="136">
        <v>44044</v>
      </c>
      <c r="B81" s="147">
        <v>162.60900000000001</v>
      </c>
      <c r="C81" s="147">
        <v>43.953000000000003</v>
      </c>
      <c r="D81" s="147">
        <v>2.4769999999999999</v>
      </c>
    </row>
    <row r="82" spans="1:4" x14ac:dyDescent="0.2">
      <c r="A82" s="136">
        <v>44075</v>
      </c>
      <c r="B82" s="147">
        <v>159.161</v>
      </c>
      <c r="C82" s="147">
        <v>48.113</v>
      </c>
      <c r="D82" s="147">
        <v>3.0649999999999999</v>
      </c>
    </row>
    <row r="83" spans="1:4" x14ac:dyDescent="0.2">
      <c r="A83" s="136">
        <v>44105</v>
      </c>
      <c r="B83" s="147">
        <v>157.203</v>
      </c>
      <c r="C83" s="147">
        <v>25.23</v>
      </c>
      <c r="D83" s="147">
        <v>1.2090000000000001</v>
      </c>
    </row>
    <row r="84" spans="1:4" x14ac:dyDescent="0.2">
      <c r="A84" s="136">
        <v>44136</v>
      </c>
      <c r="B84" s="147">
        <v>152.06700000000001</v>
      </c>
      <c r="C84" s="147">
        <v>49.054000000000002</v>
      </c>
      <c r="D84" s="147">
        <v>2.6030000000000002</v>
      </c>
    </row>
    <row r="85" spans="1:4" x14ac:dyDescent="0.2">
      <c r="A85" s="136">
        <v>44166</v>
      </c>
      <c r="B85" s="147">
        <v>157.97399999999999</v>
      </c>
      <c r="C85" s="147">
        <v>57.808</v>
      </c>
      <c r="D85" s="147">
        <v>2.5910000000000002</v>
      </c>
    </row>
    <row r="86" spans="1:4" x14ac:dyDescent="0.2">
      <c r="A86" s="136">
        <v>44197</v>
      </c>
      <c r="B86" s="147">
        <v>130.83000000000001</v>
      </c>
      <c r="C86" s="147">
        <v>56.07</v>
      </c>
      <c r="D86" s="147">
        <v>7.6020000000000003</v>
      </c>
    </row>
    <row r="87" spans="1:4" x14ac:dyDescent="0.2">
      <c r="A87" s="136">
        <v>44228</v>
      </c>
      <c r="B87" s="147">
        <v>101.05200000000001</v>
      </c>
      <c r="C87" s="147">
        <v>48.552</v>
      </c>
      <c r="D87" s="147">
        <v>7.2240000000000002</v>
      </c>
    </row>
    <row r="88" spans="1:4" x14ac:dyDescent="0.2">
      <c r="A88" s="136">
        <v>44256</v>
      </c>
      <c r="B88" s="147">
        <v>141.6</v>
      </c>
      <c r="C88" s="147">
        <v>52.503999999999998</v>
      </c>
      <c r="D88" s="147">
        <v>6.9219999999999997</v>
      </c>
    </row>
    <row r="89" spans="1:4" x14ac:dyDescent="0.2">
      <c r="A89" s="136">
        <v>44287</v>
      </c>
      <c r="B89" s="147">
        <v>134.80799999999999</v>
      </c>
      <c r="C89" s="147">
        <v>50.622</v>
      </c>
      <c r="D89" s="147">
        <v>5.8769999999999998</v>
      </c>
    </row>
    <row r="90" spans="1:4" x14ac:dyDescent="0.2">
      <c r="A90" s="136">
        <v>44317</v>
      </c>
      <c r="B90" s="147">
        <v>148.56</v>
      </c>
      <c r="C90" s="147">
        <v>63.140999999999998</v>
      </c>
      <c r="D90" s="147">
        <v>5.3129999999999997</v>
      </c>
    </row>
    <row r="91" spans="1:4" x14ac:dyDescent="0.2">
      <c r="A91" s="136">
        <v>44348</v>
      </c>
      <c r="B91" s="147">
        <v>136.119</v>
      </c>
      <c r="C91" s="147">
        <v>55.237000000000002</v>
      </c>
      <c r="D91" s="147">
        <v>3.8250000000000002</v>
      </c>
    </row>
    <row r="92" spans="1:4" x14ac:dyDescent="0.2">
      <c r="A92" s="136">
        <v>44378</v>
      </c>
      <c r="B92" s="147">
        <v>140.125</v>
      </c>
      <c r="C92" s="147">
        <v>71.647999999999996</v>
      </c>
      <c r="D92" s="147">
        <v>5.2450000000000001</v>
      </c>
    </row>
    <row r="93" spans="1:4" x14ac:dyDescent="0.2">
      <c r="A93" s="136">
        <v>44409</v>
      </c>
      <c r="B93" s="147">
        <v>139.65600000000001</v>
      </c>
      <c r="C93" s="147">
        <v>70.513999999999996</v>
      </c>
      <c r="D93" s="147">
        <v>5.84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7090-1F09-47B1-BC37-ACEAC10B6A08}">
  <dimension ref="A1:C93"/>
  <sheetViews>
    <sheetView zoomScaleNormal="100" workbookViewId="0"/>
  </sheetViews>
  <sheetFormatPr defaultColWidth="9.140625" defaultRowHeight="12.75" x14ac:dyDescent="0.2"/>
  <cols>
    <col min="1" max="1" width="7.140625" bestFit="1" customWidth="1"/>
    <col min="2" max="2" width="9.28515625" bestFit="1" customWidth="1"/>
    <col min="3" max="3" width="11.140625" customWidth="1"/>
  </cols>
  <sheetData>
    <row r="1" spans="1:3" ht="38.25" x14ac:dyDescent="0.2">
      <c r="A1" s="146" t="s">
        <v>159</v>
      </c>
      <c r="B1" s="146" t="s">
        <v>160</v>
      </c>
      <c r="C1" s="140" t="s">
        <v>165</v>
      </c>
    </row>
    <row r="2" spans="1:3" x14ac:dyDescent="0.2">
      <c r="A2" s="136">
        <v>41640</v>
      </c>
      <c r="B2" s="148">
        <v>86.566344857214474</v>
      </c>
      <c r="C2" s="148">
        <v>13.433655142785527</v>
      </c>
    </row>
    <row r="3" spans="1:3" x14ac:dyDescent="0.2">
      <c r="A3" s="136">
        <v>41671</v>
      </c>
      <c r="B3" s="148">
        <v>85.158624726994347</v>
      </c>
      <c r="C3" s="148">
        <v>14.841375273005653</v>
      </c>
    </row>
    <row r="4" spans="1:3" x14ac:dyDescent="0.2">
      <c r="A4" s="136">
        <v>41699</v>
      </c>
      <c r="B4" s="148">
        <v>86.138373082735498</v>
      </c>
      <c r="C4" s="148">
        <v>13.861626917264502</v>
      </c>
    </row>
    <row r="5" spans="1:3" x14ac:dyDescent="0.2">
      <c r="A5" s="136">
        <v>41730</v>
      </c>
      <c r="B5" s="148">
        <v>86.501111934766499</v>
      </c>
      <c r="C5" s="148">
        <v>13.498888065233505</v>
      </c>
    </row>
    <row r="6" spans="1:3" x14ac:dyDescent="0.2">
      <c r="A6" s="136">
        <v>41760</v>
      </c>
      <c r="B6" s="148">
        <v>86.105126751437595</v>
      </c>
      <c r="C6" s="148">
        <v>13.894873248562401</v>
      </c>
    </row>
    <row r="7" spans="1:3" x14ac:dyDescent="0.2">
      <c r="A7" s="136">
        <v>41791</v>
      </c>
      <c r="B7" s="148">
        <v>87.001817270334641</v>
      </c>
      <c r="C7" s="148">
        <v>12.998182729665364</v>
      </c>
    </row>
    <row r="8" spans="1:3" x14ac:dyDescent="0.2">
      <c r="A8" s="136">
        <v>41821</v>
      </c>
      <c r="B8" s="148">
        <v>89.080826386371882</v>
      </c>
      <c r="C8" s="148">
        <v>10.91917361362812</v>
      </c>
    </row>
    <row r="9" spans="1:3" x14ac:dyDescent="0.2">
      <c r="A9" s="136">
        <v>41852</v>
      </c>
      <c r="B9" s="148">
        <v>98.307170231275023</v>
      </c>
      <c r="C9" s="148">
        <v>1.6928297687249794</v>
      </c>
    </row>
    <row r="10" spans="1:3" x14ac:dyDescent="0.2">
      <c r="A10" s="136">
        <v>41883</v>
      </c>
      <c r="B10" s="148">
        <v>94.563751256877069</v>
      </c>
      <c r="C10" s="148">
        <v>5.4362487431229294</v>
      </c>
    </row>
    <row r="11" spans="1:3" x14ac:dyDescent="0.2">
      <c r="A11" s="136">
        <v>41913</v>
      </c>
      <c r="B11" s="148">
        <v>88.283683870504632</v>
      </c>
      <c r="C11" s="148">
        <v>11.716316129495375</v>
      </c>
    </row>
    <row r="12" spans="1:3" x14ac:dyDescent="0.2">
      <c r="A12" s="136">
        <v>41944</v>
      </c>
      <c r="B12" s="148">
        <v>86.012960115479956</v>
      </c>
      <c r="C12" s="148">
        <v>13.987039884520048</v>
      </c>
    </row>
    <row r="13" spans="1:3" x14ac:dyDescent="0.2">
      <c r="A13" s="136">
        <v>41974</v>
      </c>
      <c r="B13" s="148">
        <v>83.474300148468615</v>
      </c>
      <c r="C13" s="148">
        <v>16.525699851531385</v>
      </c>
    </row>
    <row r="14" spans="1:3" x14ac:dyDescent="0.2">
      <c r="A14" s="136">
        <v>42005</v>
      </c>
      <c r="B14" s="148">
        <v>79.007209601184897</v>
      </c>
      <c r="C14" s="148">
        <v>20.992790398815096</v>
      </c>
    </row>
    <row r="15" spans="1:3" x14ac:dyDescent="0.2">
      <c r="A15" s="136">
        <v>42036</v>
      </c>
      <c r="B15" s="148">
        <v>83.978998768446303</v>
      </c>
      <c r="C15" s="148">
        <v>16.021001231553701</v>
      </c>
    </row>
    <row r="16" spans="1:3" x14ac:dyDescent="0.2">
      <c r="A16" s="136">
        <v>42064</v>
      </c>
      <c r="B16" s="148">
        <v>84.991428894631966</v>
      </c>
      <c r="C16" s="148">
        <v>15.008571105368041</v>
      </c>
    </row>
    <row r="17" spans="1:3" x14ac:dyDescent="0.2">
      <c r="A17" s="136">
        <v>42095</v>
      </c>
      <c r="B17" s="148">
        <v>86.397500600817111</v>
      </c>
      <c r="C17" s="148">
        <v>13.602499399182888</v>
      </c>
    </row>
    <row r="18" spans="1:3" x14ac:dyDescent="0.2">
      <c r="A18" s="136">
        <v>42125</v>
      </c>
      <c r="B18" s="148">
        <v>87.145742199435134</v>
      </c>
      <c r="C18" s="148">
        <v>12.854257800564872</v>
      </c>
    </row>
    <row r="19" spans="1:3" x14ac:dyDescent="0.2">
      <c r="A19" s="136">
        <v>42156</v>
      </c>
      <c r="B19" s="148">
        <v>88.670854289644723</v>
      </c>
      <c r="C19" s="148">
        <v>11.329145710355281</v>
      </c>
    </row>
    <row r="20" spans="1:3" x14ac:dyDescent="0.2">
      <c r="A20" s="136">
        <v>42186</v>
      </c>
      <c r="B20" s="148">
        <v>87.629552428927113</v>
      </c>
      <c r="C20" s="148">
        <v>12.370447571072884</v>
      </c>
    </row>
    <row r="21" spans="1:3" x14ac:dyDescent="0.2">
      <c r="A21" s="136">
        <v>42217</v>
      </c>
      <c r="B21" s="148">
        <v>88.096753660089107</v>
      </c>
      <c r="C21" s="148">
        <v>11.90324633991089</v>
      </c>
    </row>
    <row r="22" spans="1:3" x14ac:dyDescent="0.2">
      <c r="A22" s="136">
        <v>42248</v>
      </c>
      <c r="B22" s="148">
        <v>87.216451666945886</v>
      </c>
      <c r="C22" s="148">
        <v>12.783548333054117</v>
      </c>
    </row>
    <row r="23" spans="1:3" x14ac:dyDescent="0.2">
      <c r="A23" s="136">
        <v>42278</v>
      </c>
      <c r="B23" s="148">
        <v>87.83536283536283</v>
      </c>
      <c r="C23" s="148">
        <v>12.16463716463717</v>
      </c>
    </row>
    <row r="24" spans="1:3" x14ac:dyDescent="0.2">
      <c r="A24" s="136">
        <v>42309</v>
      </c>
      <c r="B24" s="148">
        <v>88.3956821919638</v>
      </c>
      <c r="C24" s="148">
        <v>11.604317808036201</v>
      </c>
    </row>
    <row r="25" spans="1:3" x14ac:dyDescent="0.2">
      <c r="A25" s="136">
        <v>42339</v>
      </c>
      <c r="B25" s="148">
        <v>88.110536701511762</v>
      </c>
      <c r="C25" s="148">
        <v>11.889463298488234</v>
      </c>
    </row>
    <row r="26" spans="1:3" x14ac:dyDescent="0.2">
      <c r="A26" s="136">
        <v>42370</v>
      </c>
      <c r="B26" s="148">
        <v>88.929707297991385</v>
      </c>
      <c r="C26" s="148">
        <v>11.070292702008611</v>
      </c>
    </row>
    <row r="27" spans="1:3" x14ac:dyDescent="0.2">
      <c r="A27" s="136">
        <v>42401</v>
      </c>
      <c r="B27" s="148">
        <v>92.833999876402601</v>
      </c>
      <c r="C27" s="148">
        <v>7.166000123597394</v>
      </c>
    </row>
    <row r="28" spans="1:3" x14ac:dyDescent="0.2">
      <c r="A28" s="136">
        <v>42430</v>
      </c>
      <c r="B28" s="148">
        <v>86.074398813745091</v>
      </c>
      <c r="C28" s="148">
        <v>13.925601186254911</v>
      </c>
    </row>
    <row r="29" spans="1:3" x14ac:dyDescent="0.2">
      <c r="A29" s="136">
        <v>42461</v>
      </c>
      <c r="B29" s="148">
        <v>84.253002739341142</v>
      </c>
      <c r="C29" s="148">
        <v>15.746997260658857</v>
      </c>
    </row>
    <row r="30" spans="1:3" x14ac:dyDescent="0.2">
      <c r="A30" s="136">
        <v>42491</v>
      </c>
      <c r="B30" s="148">
        <v>85.065837025863416</v>
      </c>
      <c r="C30" s="148">
        <v>14.934162974136578</v>
      </c>
    </row>
    <row r="31" spans="1:3" x14ac:dyDescent="0.2">
      <c r="A31" s="136">
        <v>42522</v>
      </c>
      <c r="B31" s="148">
        <v>84.690635714510407</v>
      </c>
      <c r="C31" s="148">
        <v>15.30936428548959</v>
      </c>
    </row>
    <row r="32" spans="1:3" x14ac:dyDescent="0.2">
      <c r="A32" s="136">
        <v>42552</v>
      </c>
      <c r="B32" s="148">
        <v>86.859360447066123</v>
      </c>
      <c r="C32" s="148">
        <v>13.140639552933875</v>
      </c>
    </row>
    <row r="33" spans="1:3" x14ac:dyDescent="0.2">
      <c r="A33" s="136">
        <v>42583</v>
      </c>
      <c r="B33" s="148">
        <v>84.079646122366896</v>
      </c>
      <c r="C33" s="148">
        <v>15.920353877633097</v>
      </c>
    </row>
    <row r="34" spans="1:3" x14ac:dyDescent="0.2">
      <c r="A34" s="136">
        <v>42614</v>
      </c>
      <c r="B34" s="148">
        <v>86.445247555895051</v>
      </c>
      <c r="C34" s="148">
        <v>13.554752444104945</v>
      </c>
    </row>
    <row r="35" spans="1:3" x14ac:dyDescent="0.2">
      <c r="A35" s="136">
        <v>42644</v>
      </c>
      <c r="B35" s="148">
        <v>86.475075564937882</v>
      </c>
      <c r="C35" s="148">
        <v>13.524924435062125</v>
      </c>
    </row>
    <row r="36" spans="1:3" x14ac:dyDescent="0.2">
      <c r="A36" s="136">
        <v>42675</v>
      </c>
      <c r="B36" s="148">
        <v>82.913606561175072</v>
      </c>
      <c r="C36" s="148">
        <v>17.086393438824921</v>
      </c>
    </row>
    <row r="37" spans="1:3" x14ac:dyDescent="0.2">
      <c r="A37" s="136">
        <v>42705</v>
      </c>
      <c r="B37" s="148">
        <v>82.606049121114495</v>
      </c>
      <c r="C37" s="148">
        <v>17.393950878885512</v>
      </c>
    </row>
    <row r="38" spans="1:3" x14ac:dyDescent="0.2">
      <c r="A38" s="136">
        <v>42736</v>
      </c>
      <c r="B38" s="148">
        <v>81.772500066118326</v>
      </c>
      <c r="C38" s="148">
        <v>18.227499933881674</v>
      </c>
    </row>
    <row r="39" spans="1:3" x14ac:dyDescent="0.2">
      <c r="A39" s="136">
        <v>42767</v>
      </c>
      <c r="B39" s="148">
        <v>80.338336866580036</v>
      </c>
      <c r="C39" s="148">
        <v>19.66166313341996</v>
      </c>
    </row>
    <row r="40" spans="1:3" x14ac:dyDescent="0.2">
      <c r="A40" s="136">
        <v>42795</v>
      </c>
      <c r="B40" s="148">
        <v>87.153184837827297</v>
      </c>
      <c r="C40" s="148">
        <v>12.846815162172708</v>
      </c>
    </row>
    <row r="41" spans="1:3" x14ac:dyDescent="0.2">
      <c r="A41" s="136">
        <v>42826</v>
      </c>
      <c r="B41" s="148">
        <v>84.35107649535415</v>
      </c>
      <c r="C41" s="148">
        <v>15.64892350464585</v>
      </c>
    </row>
    <row r="42" spans="1:3" x14ac:dyDescent="0.2">
      <c r="A42" s="136">
        <v>42856</v>
      </c>
      <c r="B42" s="148">
        <v>84.028630487767259</v>
      </c>
      <c r="C42" s="148">
        <v>15.971369512232748</v>
      </c>
    </row>
    <row r="43" spans="1:3" x14ac:dyDescent="0.2">
      <c r="A43" s="136">
        <v>42887</v>
      </c>
      <c r="B43" s="148">
        <v>87.918202815455572</v>
      </c>
      <c r="C43" s="148">
        <v>12.081797184544429</v>
      </c>
    </row>
    <row r="44" spans="1:3" x14ac:dyDescent="0.2">
      <c r="A44" s="136">
        <v>42917</v>
      </c>
      <c r="B44" s="148">
        <v>87.557390489576008</v>
      </c>
      <c r="C44" s="148">
        <v>12.442609510423996</v>
      </c>
    </row>
    <row r="45" spans="1:3" x14ac:dyDescent="0.2">
      <c r="A45" s="136">
        <v>42948</v>
      </c>
      <c r="B45" s="148">
        <v>84.852303430738147</v>
      </c>
      <c r="C45" s="148">
        <v>15.147696569261859</v>
      </c>
    </row>
    <row r="46" spans="1:3" x14ac:dyDescent="0.2">
      <c r="A46" s="136">
        <v>42979</v>
      </c>
      <c r="B46" s="148">
        <v>85.973862236827529</v>
      </c>
      <c r="C46" s="148">
        <v>14.026137763172475</v>
      </c>
    </row>
    <row r="47" spans="1:3" x14ac:dyDescent="0.2">
      <c r="A47" s="136">
        <v>43009</v>
      </c>
      <c r="B47" s="148">
        <v>84.356571428571428</v>
      </c>
      <c r="C47" s="148">
        <v>15.643428571428576</v>
      </c>
    </row>
    <row r="48" spans="1:3" x14ac:dyDescent="0.2">
      <c r="A48" s="136">
        <v>43040</v>
      </c>
      <c r="B48" s="148">
        <v>85.428934303198261</v>
      </c>
      <c r="C48" s="148">
        <v>14.571065696801744</v>
      </c>
    </row>
    <row r="49" spans="1:3" x14ac:dyDescent="0.2">
      <c r="A49" s="136">
        <v>43070</v>
      </c>
      <c r="B49" s="148">
        <v>83.94732502800349</v>
      </c>
      <c r="C49" s="148">
        <v>16.052674971996517</v>
      </c>
    </row>
    <row r="50" spans="1:3" x14ac:dyDescent="0.2">
      <c r="A50" s="136">
        <v>43101</v>
      </c>
      <c r="B50" s="148">
        <v>88.795591522594151</v>
      </c>
      <c r="C50" s="148">
        <v>11.204408477405847</v>
      </c>
    </row>
    <row r="51" spans="1:3" x14ac:dyDescent="0.2">
      <c r="A51" s="136">
        <v>43132</v>
      </c>
      <c r="B51" s="148">
        <v>84.183757393919066</v>
      </c>
      <c r="C51" s="148">
        <v>15.816242606080932</v>
      </c>
    </row>
    <row r="52" spans="1:3" x14ac:dyDescent="0.2">
      <c r="A52" s="136">
        <v>43160</v>
      </c>
      <c r="B52" s="148">
        <v>84.287781332308427</v>
      </c>
      <c r="C52" s="148">
        <v>15.71221866769158</v>
      </c>
    </row>
    <row r="53" spans="1:3" x14ac:dyDescent="0.2">
      <c r="A53" s="136">
        <v>43191</v>
      </c>
      <c r="B53" s="148">
        <v>83.623764932291294</v>
      </c>
      <c r="C53" s="148">
        <v>16.376235067708699</v>
      </c>
    </row>
    <row r="54" spans="1:3" x14ac:dyDescent="0.2">
      <c r="A54" s="136">
        <v>43221</v>
      </c>
      <c r="B54" s="148">
        <v>86.538670509982893</v>
      </c>
      <c r="C54" s="148">
        <v>13.461329490017103</v>
      </c>
    </row>
    <row r="55" spans="1:3" x14ac:dyDescent="0.2">
      <c r="A55" s="136">
        <v>43252</v>
      </c>
      <c r="B55" s="148">
        <v>92.511908505409792</v>
      </c>
      <c r="C55" s="148">
        <v>7.4880914945902095</v>
      </c>
    </row>
    <row r="56" spans="1:3" x14ac:dyDescent="0.2">
      <c r="A56" s="136">
        <v>43282</v>
      </c>
      <c r="B56" s="148">
        <v>93.956922312163542</v>
      </c>
      <c r="C56" s="148">
        <v>6.0430776878364618</v>
      </c>
    </row>
    <row r="57" spans="1:3" x14ac:dyDescent="0.2">
      <c r="A57" s="136">
        <v>43313</v>
      </c>
      <c r="B57" s="148">
        <v>90.598820974247602</v>
      </c>
      <c r="C57" s="148">
        <v>9.4011790257524037</v>
      </c>
    </row>
    <row r="58" spans="1:3" x14ac:dyDescent="0.2">
      <c r="A58" s="136">
        <v>43344</v>
      </c>
      <c r="B58" s="148">
        <v>82.351998236702642</v>
      </c>
      <c r="C58" s="148">
        <v>17.648001763297362</v>
      </c>
    </row>
    <row r="59" spans="1:3" x14ac:dyDescent="0.2">
      <c r="A59" s="136">
        <v>43374</v>
      </c>
      <c r="B59" s="148">
        <v>80.447621422958008</v>
      </c>
      <c r="C59" s="148">
        <v>19.552378577041996</v>
      </c>
    </row>
    <row r="60" spans="1:3" x14ac:dyDescent="0.2">
      <c r="A60" s="136">
        <v>43405</v>
      </c>
      <c r="B60" s="148">
        <v>78.828731346954029</v>
      </c>
      <c r="C60" s="148">
        <v>21.171268653045971</v>
      </c>
    </row>
    <row r="61" spans="1:3" x14ac:dyDescent="0.2">
      <c r="A61" s="136">
        <v>43435</v>
      </c>
      <c r="B61" s="148">
        <v>76.772608305726891</v>
      </c>
      <c r="C61" s="148">
        <v>23.227391694273113</v>
      </c>
    </row>
    <row r="62" spans="1:3" x14ac:dyDescent="0.2">
      <c r="A62" s="136">
        <v>43466</v>
      </c>
      <c r="B62" s="148">
        <v>78.68702774223884</v>
      </c>
      <c r="C62" s="148">
        <v>21.312972257761153</v>
      </c>
    </row>
    <row r="63" spans="1:3" x14ac:dyDescent="0.2">
      <c r="A63" s="136">
        <v>43497</v>
      </c>
      <c r="B63" s="148">
        <v>75.241960121974401</v>
      </c>
      <c r="C63" s="148">
        <v>24.758039878025595</v>
      </c>
    </row>
    <row r="64" spans="1:3" x14ac:dyDescent="0.2">
      <c r="A64" s="136">
        <v>43525</v>
      </c>
      <c r="B64" s="148">
        <v>78.260893727458139</v>
      </c>
      <c r="C64" s="148">
        <v>21.739106272541864</v>
      </c>
    </row>
    <row r="65" spans="1:3" x14ac:dyDescent="0.2">
      <c r="A65" s="136">
        <v>43556</v>
      </c>
      <c r="B65" s="148">
        <v>78.6352571490591</v>
      </c>
      <c r="C65" s="148">
        <v>21.3647428509409</v>
      </c>
    </row>
    <row r="66" spans="1:3" x14ac:dyDescent="0.2">
      <c r="A66" s="136">
        <v>43586</v>
      </c>
      <c r="B66" s="148">
        <v>77.933273510047286</v>
      </c>
      <c r="C66" s="148">
        <v>22.066726489952714</v>
      </c>
    </row>
    <row r="67" spans="1:3" x14ac:dyDescent="0.2">
      <c r="A67" s="136">
        <v>43617</v>
      </c>
      <c r="B67" s="148">
        <v>77.20918308906549</v>
      </c>
      <c r="C67" s="148">
        <v>22.79081691093451</v>
      </c>
    </row>
    <row r="68" spans="1:3" x14ac:dyDescent="0.2">
      <c r="A68" s="136">
        <v>43647</v>
      </c>
      <c r="B68" s="148">
        <v>76.499385053174819</v>
      </c>
      <c r="C68" s="148">
        <v>23.500614946825181</v>
      </c>
    </row>
    <row r="69" spans="1:3" x14ac:dyDescent="0.2">
      <c r="A69" s="136">
        <v>43678</v>
      </c>
      <c r="B69" s="148">
        <v>83.136288735661594</v>
      </c>
      <c r="C69" s="148">
        <v>16.863711264338399</v>
      </c>
    </row>
    <row r="70" spans="1:3" x14ac:dyDescent="0.2">
      <c r="A70" s="136">
        <v>43709</v>
      </c>
      <c r="B70" s="148">
        <v>76.486225620507625</v>
      </c>
      <c r="C70" s="148">
        <v>23.513774379492382</v>
      </c>
    </row>
    <row r="71" spans="1:3" x14ac:dyDescent="0.2">
      <c r="A71" s="136">
        <v>43739</v>
      </c>
      <c r="B71" s="148">
        <v>73.919234551712847</v>
      </c>
      <c r="C71" s="148">
        <v>26.080765448287156</v>
      </c>
    </row>
    <row r="72" spans="1:3" x14ac:dyDescent="0.2">
      <c r="A72" s="136">
        <v>43770</v>
      </c>
      <c r="B72" s="148">
        <v>73.791130517367179</v>
      </c>
      <c r="C72" s="148">
        <v>26.208869482632824</v>
      </c>
    </row>
    <row r="73" spans="1:3" x14ac:dyDescent="0.2">
      <c r="A73" s="136">
        <v>43800</v>
      </c>
      <c r="B73" s="148">
        <v>69.916268886865637</v>
      </c>
      <c r="C73" s="148">
        <v>30.083731113134359</v>
      </c>
    </row>
    <row r="74" spans="1:3" x14ac:dyDescent="0.2">
      <c r="A74" s="136">
        <v>43831</v>
      </c>
      <c r="B74" s="148">
        <v>75.235122016836868</v>
      </c>
      <c r="C74" s="148">
        <v>24.764877983163135</v>
      </c>
    </row>
    <row r="75" spans="1:3" x14ac:dyDescent="0.2">
      <c r="A75" s="136">
        <v>43862</v>
      </c>
      <c r="B75" s="148">
        <v>76.896469256928214</v>
      </c>
      <c r="C75" s="148">
        <v>23.103530743071786</v>
      </c>
    </row>
    <row r="76" spans="1:3" x14ac:dyDescent="0.2">
      <c r="A76" s="136">
        <v>43891</v>
      </c>
      <c r="B76" s="148">
        <v>75.727322440010639</v>
      </c>
      <c r="C76" s="148">
        <v>24.272677559989365</v>
      </c>
    </row>
    <row r="77" spans="1:3" x14ac:dyDescent="0.2">
      <c r="A77" s="136">
        <v>43922</v>
      </c>
      <c r="B77" s="148">
        <v>77.449374387050185</v>
      </c>
      <c r="C77" s="148">
        <v>22.550625612949815</v>
      </c>
    </row>
    <row r="78" spans="1:3" x14ac:dyDescent="0.2">
      <c r="A78" s="136">
        <v>43952</v>
      </c>
      <c r="B78" s="148">
        <v>75.760436437351558</v>
      </c>
      <c r="C78" s="148">
        <v>24.239563562648435</v>
      </c>
    </row>
    <row r="79" spans="1:3" x14ac:dyDescent="0.2">
      <c r="A79" s="136">
        <v>43983</v>
      </c>
      <c r="B79" s="148">
        <v>73.012491527064967</v>
      </c>
      <c r="C79" s="148">
        <v>26.98750847293503</v>
      </c>
    </row>
    <row r="80" spans="1:3" x14ac:dyDescent="0.2">
      <c r="A80" s="136">
        <v>44013</v>
      </c>
      <c r="B80" s="148">
        <v>76.086690512048193</v>
      </c>
      <c r="C80" s="148">
        <v>23.913309487951807</v>
      </c>
    </row>
    <row r="81" spans="1:3" x14ac:dyDescent="0.2">
      <c r="A81" s="136">
        <v>44044</v>
      </c>
      <c r="B81" s="148">
        <v>77.788833662617975</v>
      </c>
      <c r="C81" s="148">
        <v>22.211166337382025</v>
      </c>
    </row>
    <row r="82" spans="1:3" x14ac:dyDescent="0.2">
      <c r="A82" s="136">
        <v>44075</v>
      </c>
      <c r="B82" s="148">
        <v>75.668801315970896</v>
      </c>
      <c r="C82" s="148">
        <v>24.331198684029111</v>
      </c>
    </row>
    <row r="83" spans="1:3" x14ac:dyDescent="0.2">
      <c r="A83" s="136">
        <v>44105</v>
      </c>
      <c r="B83" s="148">
        <v>85.60296664161794</v>
      </c>
      <c r="C83" s="148">
        <v>14.39703335838206</v>
      </c>
    </row>
    <row r="84" spans="1:3" x14ac:dyDescent="0.2">
      <c r="A84" s="136">
        <v>44136</v>
      </c>
      <c r="B84" s="148">
        <v>74.643635506862225</v>
      </c>
      <c r="C84" s="148">
        <v>25.356364493137772</v>
      </c>
    </row>
    <row r="85" spans="1:3" x14ac:dyDescent="0.2">
      <c r="A85" s="136">
        <v>44166</v>
      </c>
      <c r="B85" s="148">
        <v>72.341360882526686</v>
      </c>
      <c r="C85" s="148">
        <v>27.658639117473317</v>
      </c>
    </row>
    <row r="86" spans="1:3" x14ac:dyDescent="0.2">
      <c r="A86" s="136">
        <v>44197</v>
      </c>
      <c r="B86" s="148">
        <v>67.264089829410494</v>
      </c>
      <c r="C86" s="148">
        <v>32.735910170589499</v>
      </c>
    </row>
    <row r="87" spans="1:3" x14ac:dyDescent="0.2">
      <c r="A87" s="136">
        <v>44228</v>
      </c>
      <c r="B87" s="148">
        <v>64.434922335297273</v>
      </c>
      <c r="C87" s="148">
        <v>35.565077664702727</v>
      </c>
    </row>
    <row r="88" spans="1:3" x14ac:dyDescent="0.2">
      <c r="A88" s="136">
        <v>44256</v>
      </c>
      <c r="B88" s="148">
        <v>70.438649726901005</v>
      </c>
      <c r="C88" s="148">
        <v>29.561350273098995</v>
      </c>
    </row>
    <row r="89" spans="1:3" x14ac:dyDescent="0.2">
      <c r="A89" s="136">
        <v>44287</v>
      </c>
      <c r="B89" s="148">
        <v>70.466841255155316</v>
      </c>
      <c r="C89" s="148">
        <v>29.533158744844677</v>
      </c>
    </row>
    <row r="90" spans="1:3" x14ac:dyDescent="0.2">
      <c r="A90" s="136">
        <v>44317</v>
      </c>
      <c r="B90" s="148">
        <v>68.456412950316576</v>
      </c>
      <c r="C90" s="148">
        <v>31.543587049683421</v>
      </c>
    </row>
    <row r="91" spans="1:3" x14ac:dyDescent="0.2">
      <c r="A91" s="136">
        <v>44348</v>
      </c>
      <c r="B91" s="148">
        <v>69.739882468068103</v>
      </c>
      <c r="C91" s="148">
        <v>30.260117531931897</v>
      </c>
    </row>
    <row r="92" spans="1:3" x14ac:dyDescent="0.2">
      <c r="A92" s="136">
        <v>44378</v>
      </c>
      <c r="B92" s="148">
        <v>64.568376816669584</v>
      </c>
      <c r="C92" s="148">
        <v>35.431623183330416</v>
      </c>
    </row>
    <row r="93" spans="1:3" x14ac:dyDescent="0.2">
      <c r="A93" s="136">
        <v>44409</v>
      </c>
      <c r="B93" s="148">
        <v>64.652562381371226</v>
      </c>
      <c r="C93" s="148">
        <v>35.347437618628774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8609-48C3-4C03-9A80-3DE814826DAA}">
  <dimension ref="A1:D52"/>
  <sheetViews>
    <sheetView zoomScaleNormal="100" workbookViewId="0"/>
  </sheetViews>
  <sheetFormatPr defaultColWidth="8.85546875" defaultRowHeight="12.75" x14ac:dyDescent="0.2"/>
  <cols>
    <col min="1" max="2" width="10.42578125" style="127" customWidth="1"/>
    <col min="3" max="3" width="8.85546875" style="127"/>
    <col min="4" max="4" width="11.42578125" style="127" customWidth="1"/>
    <col min="5" max="16384" width="8.85546875" style="127"/>
  </cols>
  <sheetData>
    <row r="1" spans="1:4" ht="25.5" x14ac:dyDescent="0.2">
      <c r="A1" s="140" t="s">
        <v>157</v>
      </c>
      <c r="B1" s="155" t="s">
        <v>12</v>
      </c>
      <c r="C1" s="155" t="s">
        <v>13</v>
      </c>
      <c r="D1" s="155" t="s">
        <v>25</v>
      </c>
    </row>
    <row r="2" spans="1:4" ht="15" x14ac:dyDescent="0.25">
      <c r="A2" s="141" t="s">
        <v>111</v>
      </c>
      <c r="B2" s="145">
        <v>2078</v>
      </c>
      <c r="C2" s="142">
        <v>1.1352261790182867</v>
      </c>
      <c r="D2" s="143">
        <v>2359</v>
      </c>
    </row>
    <row r="3" spans="1:4" ht="15" x14ac:dyDescent="0.25">
      <c r="A3" s="141" t="s">
        <v>112</v>
      </c>
      <c r="B3" s="143">
        <v>2461</v>
      </c>
      <c r="C3" s="142">
        <v>1.3925233644859814</v>
      </c>
      <c r="D3" s="144">
        <v>3427</v>
      </c>
    </row>
    <row r="4" spans="1:4" ht="15" x14ac:dyDescent="0.25">
      <c r="A4" s="141" t="s">
        <v>113</v>
      </c>
      <c r="B4" s="143">
        <v>3272</v>
      </c>
      <c r="C4" s="142">
        <v>1.2658924205378974</v>
      </c>
      <c r="D4" s="144">
        <v>4142</v>
      </c>
    </row>
    <row r="5" spans="1:4" ht="15" x14ac:dyDescent="0.25">
      <c r="A5" s="141" t="s">
        <v>114</v>
      </c>
      <c r="B5" s="143">
        <v>2721</v>
      </c>
      <c r="C5" s="142">
        <v>1.408305769937523</v>
      </c>
      <c r="D5" s="144">
        <v>3832</v>
      </c>
    </row>
    <row r="6" spans="1:4" ht="15" x14ac:dyDescent="0.25">
      <c r="A6" s="141" t="s">
        <v>115</v>
      </c>
      <c r="B6" s="143">
        <v>2897</v>
      </c>
      <c r="C6" s="142">
        <v>1.2219537452537108</v>
      </c>
      <c r="D6" s="144">
        <v>3540</v>
      </c>
    </row>
    <row r="7" spans="1:4" ht="15" x14ac:dyDescent="0.25">
      <c r="A7" s="141" t="s">
        <v>116</v>
      </c>
      <c r="B7" s="143">
        <v>2091</v>
      </c>
      <c r="C7" s="142">
        <v>1.327116212338594</v>
      </c>
      <c r="D7" s="144">
        <v>2775</v>
      </c>
    </row>
    <row r="8" spans="1:4" ht="15" x14ac:dyDescent="0.25">
      <c r="A8" s="141" t="s">
        <v>117</v>
      </c>
      <c r="B8" s="143">
        <v>2681</v>
      </c>
      <c r="C8" s="142">
        <v>1.608728086534875</v>
      </c>
      <c r="D8" s="144">
        <v>4313</v>
      </c>
    </row>
    <row r="9" spans="1:4" ht="15" x14ac:dyDescent="0.25">
      <c r="A9" s="141" t="s">
        <v>118</v>
      </c>
      <c r="B9" s="143">
        <v>3171</v>
      </c>
      <c r="C9" s="142">
        <v>1.2276884263639229</v>
      </c>
      <c r="D9" s="144">
        <v>3893</v>
      </c>
    </row>
    <row r="10" spans="1:4" ht="15" x14ac:dyDescent="0.25">
      <c r="A10" s="141" t="s">
        <v>119</v>
      </c>
      <c r="B10" s="143">
        <v>2120</v>
      </c>
      <c r="C10" s="142">
        <v>1.1160377358490565</v>
      </c>
      <c r="D10" s="144">
        <v>2366</v>
      </c>
    </row>
    <row r="11" spans="1:4" ht="15" x14ac:dyDescent="0.25">
      <c r="A11" s="141" t="s">
        <v>33</v>
      </c>
      <c r="B11" s="143">
        <v>2034</v>
      </c>
      <c r="C11" s="142">
        <v>1.1302851524090463</v>
      </c>
      <c r="D11" s="144">
        <v>2299</v>
      </c>
    </row>
    <row r="12" spans="1:4" ht="15" x14ac:dyDescent="0.25">
      <c r="A12" s="141" t="s">
        <v>37</v>
      </c>
      <c r="B12" s="143">
        <v>2450</v>
      </c>
      <c r="C12" s="142">
        <v>1.8367346938775511</v>
      </c>
      <c r="D12" s="144">
        <v>4500</v>
      </c>
    </row>
    <row r="13" spans="1:4" ht="15" x14ac:dyDescent="0.25">
      <c r="A13" s="141" t="s">
        <v>54</v>
      </c>
      <c r="B13" s="143">
        <v>3000</v>
      </c>
      <c r="C13" s="142">
        <v>1.8333333333333333</v>
      </c>
      <c r="D13" s="144">
        <v>5500</v>
      </c>
    </row>
    <row r="14" spans="1:4" x14ac:dyDescent="0.2">
      <c r="A14" s="128"/>
      <c r="B14" s="130"/>
    </row>
    <row r="15" spans="1:4" x14ac:dyDescent="0.2">
      <c r="A15" s="128"/>
      <c r="B15" s="130"/>
    </row>
    <row r="16" spans="1:4" x14ac:dyDescent="0.2">
      <c r="A16" s="128"/>
      <c r="B16" s="131"/>
    </row>
    <row r="17" spans="1:2" x14ac:dyDescent="0.2">
      <c r="A17" s="128"/>
      <c r="B17" s="129"/>
    </row>
    <row r="18" spans="1:2" x14ac:dyDescent="0.2">
      <c r="A18" s="128"/>
      <c r="B18" s="129"/>
    </row>
    <row r="19" spans="1:2" x14ac:dyDescent="0.2">
      <c r="B19" s="129"/>
    </row>
    <row r="20" spans="1:2" x14ac:dyDescent="0.2">
      <c r="B20" s="129"/>
    </row>
    <row r="21" spans="1:2" x14ac:dyDescent="0.2">
      <c r="B21" s="129"/>
    </row>
    <row r="22" spans="1:2" x14ac:dyDescent="0.2">
      <c r="B22" s="129"/>
    </row>
    <row r="23" spans="1:2" x14ac:dyDescent="0.2">
      <c r="B23" s="129"/>
    </row>
    <row r="24" spans="1:2" x14ac:dyDescent="0.2">
      <c r="B24" s="129"/>
    </row>
    <row r="25" spans="1:2" x14ac:dyDescent="0.2">
      <c r="B25" s="129"/>
    </row>
    <row r="26" spans="1:2" x14ac:dyDescent="0.2">
      <c r="B26" s="130"/>
    </row>
    <row r="27" spans="1:2" x14ac:dyDescent="0.2">
      <c r="B27" s="130"/>
    </row>
    <row r="28" spans="1:2" x14ac:dyDescent="0.2">
      <c r="B28" s="130"/>
    </row>
    <row r="29" spans="1:2" x14ac:dyDescent="0.2">
      <c r="B29" s="130"/>
    </row>
    <row r="30" spans="1:2" x14ac:dyDescent="0.2">
      <c r="B30" s="130"/>
    </row>
    <row r="31" spans="1:2" x14ac:dyDescent="0.2">
      <c r="B31" s="130"/>
    </row>
    <row r="32" spans="1:2" x14ac:dyDescent="0.2">
      <c r="B32" s="130"/>
    </row>
    <row r="33" spans="2:2" x14ac:dyDescent="0.2">
      <c r="B33" s="130"/>
    </row>
    <row r="34" spans="2:2" x14ac:dyDescent="0.2">
      <c r="B34" s="130"/>
    </row>
    <row r="35" spans="2:2" x14ac:dyDescent="0.2">
      <c r="B35" s="130"/>
    </row>
    <row r="36" spans="2:2" x14ac:dyDescent="0.2">
      <c r="B36" s="130"/>
    </row>
    <row r="37" spans="2:2" x14ac:dyDescent="0.2">
      <c r="B37" s="130"/>
    </row>
    <row r="38" spans="2:2" x14ac:dyDescent="0.2">
      <c r="B38" s="130"/>
    </row>
    <row r="39" spans="2:2" x14ac:dyDescent="0.2">
      <c r="B39" s="130"/>
    </row>
    <row r="40" spans="2:2" x14ac:dyDescent="0.2">
      <c r="B40" s="130"/>
    </row>
    <row r="41" spans="2:2" x14ac:dyDescent="0.2">
      <c r="B41" s="130"/>
    </row>
    <row r="42" spans="2:2" x14ac:dyDescent="0.2">
      <c r="B42" s="130"/>
    </row>
    <row r="43" spans="2:2" x14ac:dyDescent="0.2">
      <c r="B43" s="130"/>
    </row>
    <row r="44" spans="2:2" x14ac:dyDescent="0.2">
      <c r="B44" s="130"/>
    </row>
    <row r="45" spans="2:2" x14ac:dyDescent="0.2">
      <c r="B45" s="130"/>
    </row>
    <row r="46" spans="2:2" x14ac:dyDescent="0.2">
      <c r="B46" s="130"/>
    </row>
    <row r="47" spans="2:2" x14ac:dyDescent="0.2">
      <c r="B47" s="130"/>
    </row>
    <row r="48" spans="2:2" x14ac:dyDescent="0.2">
      <c r="B48" s="130"/>
    </row>
    <row r="49" spans="2:2" x14ac:dyDescent="0.2">
      <c r="B49" s="130"/>
    </row>
    <row r="50" spans="2:2" x14ac:dyDescent="0.2">
      <c r="B50" s="130"/>
    </row>
    <row r="51" spans="2:2" x14ac:dyDescent="0.2">
      <c r="B51" s="130"/>
    </row>
    <row r="52" spans="2:2" x14ac:dyDescent="0.2">
      <c r="B52" s="1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CC6B-90A5-4E89-B5A2-7982F3421D77}">
  <dimension ref="A1:E47"/>
  <sheetViews>
    <sheetView zoomScaleNormal="100" workbookViewId="0"/>
  </sheetViews>
  <sheetFormatPr defaultColWidth="8.85546875" defaultRowHeight="12.75" x14ac:dyDescent="0.2"/>
  <cols>
    <col min="1" max="2" width="10.42578125" style="127" customWidth="1"/>
    <col min="3" max="3" width="9.7109375" style="127" customWidth="1"/>
    <col min="4" max="16384" width="8.85546875" style="127"/>
  </cols>
  <sheetData>
    <row r="1" spans="1:5" ht="38.25" x14ac:dyDescent="0.2">
      <c r="A1" s="126" t="s">
        <v>157</v>
      </c>
      <c r="B1" s="126" t="s">
        <v>167</v>
      </c>
      <c r="C1" s="126" t="s">
        <v>161</v>
      </c>
      <c r="D1" s="126" t="s">
        <v>13</v>
      </c>
    </row>
    <row r="2" spans="1:5" ht="15" x14ac:dyDescent="0.25">
      <c r="A2" s="141" t="s">
        <v>111</v>
      </c>
      <c r="B2" s="149">
        <v>13079</v>
      </c>
      <c r="C2" s="149">
        <v>19704</v>
      </c>
      <c r="D2" s="153">
        <v>1.4191160555820095</v>
      </c>
      <c r="E2" s="149"/>
    </row>
    <row r="3" spans="1:5" ht="15" x14ac:dyDescent="0.25">
      <c r="A3" s="141" t="s">
        <v>112</v>
      </c>
      <c r="B3" s="150">
        <v>18862</v>
      </c>
      <c r="C3" s="150">
        <v>19871</v>
      </c>
      <c r="D3" s="154">
        <v>1.5715097172069623</v>
      </c>
      <c r="E3" s="149"/>
    </row>
    <row r="4" spans="1:5" ht="15" x14ac:dyDescent="0.25">
      <c r="A4" s="141" t="s">
        <v>113</v>
      </c>
      <c r="B4" s="150">
        <v>16495</v>
      </c>
      <c r="C4" s="150">
        <v>18477</v>
      </c>
      <c r="D4" s="154">
        <v>1.4818016185754841</v>
      </c>
      <c r="E4" s="149"/>
    </row>
    <row r="5" spans="1:5" ht="15" x14ac:dyDescent="0.25">
      <c r="A5" s="141" t="s">
        <v>114</v>
      </c>
      <c r="B5" s="150">
        <v>21442</v>
      </c>
      <c r="C5" s="150">
        <v>20126</v>
      </c>
      <c r="D5" s="154">
        <v>1.7304137873615852</v>
      </c>
      <c r="E5" s="149"/>
    </row>
    <row r="6" spans="1:5" ht="15" x14ac:dyDescent="0.25">
      <c r="A6" s="141" t="s">
        <v>115</v>
      </c>
      <c r="B6" s="150">
        <v>18574</v>
      </c>
      <c r="C6" s="150">
        <v>20710</v>
      </c>
      <c r="D6" s="154">
        <v>1.6995024875621891</v>
      </c>
      <c r="E6" s="149"/>
    </row>
    <row r="7" spans="1:5" ht="15" x14ac:dyDescent="0.25">
      <c r="A7" s="141" t="s">
        <v>116</v>
      </c>
      <c r="B7" s="150">
        <v>21073</v>
      </c>
      <c r="C7" s="150">
        <v>19677</v>
      </c>
      <c r="D7" s="154">
        <v>1.7339687672864985</v>
      </c>
      <c r="E7" s="149"/>
    </row>
    <row r="8" spans="1:5" ht="15" x14ac:dyDescent="0.25">
      <c r="A8" s="141" t="s">
        <v>117</v>
      </c>
      <c r="B8" s="150">
        <v>26058</v>
      </c>
      <c r="C8" s="150">
        <v>22335</v>
      </c>
      <c r="D8" s="154">
        <v>1.8623436598037328</v>
      </c>
      <c r="E8" s="149"/>
    </row>
    <row r="9" spans="1:5" ht="15" x14ac:dyDescent="0.25">
      <c r="A9" s="141" t="s">
        <v>118</v>
      </c>
      <c r="B9" s="150">
        <v>24062</v>
      </c>
      <c r="C9" s="150">
        <v>23948</v>
      </c>
      <c r="D9" s="154">
        <v>1.847177869262437</v>
      </c>
      <c r="E9" s="149"/>
    </row>
    <row r="10" spans="1:5" ht="15" x14ac:dyDescent="0.25">
      <c r="A10" s="141" t="s">
        <v>119</v>
      </c>
      <c r="B10" s="150">
        <v>27710</v>
      </c>
      <c r="C10" s="150">
        <v>22949</v>
      </c>
      <c r="D10" s="154">
        <v>1.9627663696241766</v>
      </c>
      <c r="E10" s="149"/>
    </row>
    <row r="11" spans="1:5" ht="15" x14ac:dyDescent="0.25">
      <c r="A11" s="141" t="s">
        <v>33</v>
      </c>
      <c r="B11" s="150">
        <v>31805</v>
      </c>
      <c r="C11" s="150">
        <v>22132</v>
      </c>
      <c r="D11" s="154">
        <v>2.0724275724275723</v>
      </c>
      <c r="E11" s="149"/>
    </row>
    <row r="12" spans="1:5" ht="15" x14ac:dyDescent="0.25">
      <c r="A12" s="141" t="s">
        <v>37</v>
      </c>
      <c r="B12" s="150">
        <v>27369</v>
      </c>
      <c r="C12" s="150">
        <v>21738</v>
      </c>
      <c r="D12" s="154">
        <v>1.8209359240581431</v>
      </c>
      <c r="E12" s="149"/>
    </row>
    <row r="13" spans="1:5" ht="15" x14ac:dyDescent="0.25">
      <c r="A13" s="141" t="s">
        <v>54</v>
      </c>
      <c r="B13" s="150">
        <v>33000</v>
      </c>
      <c r="C13" s="150">
        <v>24041</v>
      </c>
      <c r="D13" s="154">
        <v>2.0055200056254834</v>
      </c>
      <c r="E13" s="149"/>
    </row>
    <row r="14" spans="1:5" x14ac:dyDescent="0.2">
      <c r="B14" s="152"/>
    </row>
    <row r="15" spans="1:5" x14ac:dyDescent="0.2">
      <c r="B15" s="129"/>
    </row>
    <row r="16" spans="1:5" x14ac:dyDescent="0.2">
      <c r="B16" s="129"/>
    </row>
    <row r="17" spans="2:2" x14ac:dyDescent="0.2">
      <c r="B17" s="151"/>
    </row>
    <row r="18" spans="2:2" x14ac:dyDescent="0.2">
      <c r="B18" s="129"/>
    </row>
    <row r="19" spans="2:2" x14ac:dyDescent="0.2">
      <c r="B19" s="129"/>
    </row>
    <row r="20" spans="2:2" x14ac:dyDescent="0.2">
      <c r="B20" s="129"/>
    </row>
    <row r="21" spans="2:2" x14ac:dyDescent="0.2">
      <c r="B21" s="130"/>
    </row>
    <row r="22" spans="2:2" x14ac:dyDescent="0.2">
      <c r="B22" s="130"/>
    </row>
    <row r="23" spans="2:2" x14ac:dyDescent="0.2">
      <c r="B23" s="130"/>
    </row>
    <row r="24" spans="2:2" x14ac:dyDescent="0.2">
      <c r="B24" s="130"/>
    </row>
    <row r="25" spans="2:2" x14ac:dyDescent="0.2">
      <c r="B25" s="130"/>
    </row>
    <row r="26" spans="2:2" x14ac:dyDescent="0.2">
      <c r="B26" s="130"/>
    </row>
    <row r="27" spans="2:2" x14ac:dyDescent="0.2">
      <c r="B27" s="130"/>
    </row>
    <row r="28" spans="2:2" x14ac:dyDescent="0.2">
      <c r="B28" s="130"/>
    </row>
    <row r="29" spans="2:2" x14ac:dyDescent="0.2">
      <c r="B29" s="130"/>
    </row>
    <row r="30" spans="2:2" x14ac:dyDescent="0.2">
      <c r="B30" s="130"/>
    </row>
    <row r="31" spans="2:2" x14ac:dyDescent="0.2">
      <c r="B31" s="130"/>
    </row>
    <row r="32" spans="2:2" x14ac:dyDescent="0.2">
      <c r="B32" s="130"/>
    </row>
    <row r="33" spans="2:2" x14ac:dyDescent="0.2">
      <c r="B33" s="130"/>
    </row>
    <row r="34" spans="2:2" x14ac:dyDescent="0.2">
      <c r="B34" s="130"/>
    </row>
    <row r="35" spans="2:2" x14ac:dyDescent="0.2">
      <c r="B35" s="130"/>
    </row>
    <row r="36" spans="2:2" x14ac:dyDescent="0.2">
      <c r="B36" s="130"/>
    </row>
    <row r="37" spans="2:2" x14ac:dyDescent="0.2">
      <c r="B37" s="130"/>
    </row>
    <row r="38" spans="2:2" x14ac:dyDescent="0.2">
      <c r="B38" s="130"/>
    </row>
    <row r="39" spans="2:2" x14ac:dyDescent="0.2">
      <c r="B39" s="130"/>
    </row>
    <row r="40" spans="2:2" x14ac:dyDescent="0.2">
      <c r="B40" s="130"/>
    </row>
    <row r="41" spans="2:2" x14ac:dyDescent="0.2">
      <c r="B41" s="130"/>
    </row>
    <row r="42" spans="2:2" x14ac:dyDescent="0.2">
      <c r="B42" s="130"/>
    </row>
    <row r="43" spans="2:2" x14ac:dyDescent="0.2">
      <c r="B43" s="130"/>
    </row>
    <row r="44" spans="2:2" x14ac:dyDescent="0.2">
      <c r="B44" s="130"/>
    </row>
    <row r="45" spans="2:2" x14ac:dyDescent="0.2">
      <c r="B45" s="130"/>
    </row>
    <row r="46" spans="2:2" x14ac:dyDescent="0.2">
      <c r="B46" s="130"/>
    </row>
    <row r="47" spans="2:2" x14ac:dyDescent="0.2">
      <c r="B47" s="1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47FD-D330-4C28-A829-690DF80F2520}">
  <dimension ref="A1:J47"/>
  <sheetViews>
    <sheetView zoomScaleNormal="100" workbookViewId="0"/>
  </sheetViews>
  <sheetFormatPr defaultColWidth="8.85546875" defaultRowHeight="12.75" x14ac:dyDescent="0.2"/>
  <cols>
    <col min="1" max="1" width="14.42578125" style="127" customWidth="1"/>
    <col min="2" max="2" width="11.140625" style="127" customWidth="1"/>
    <col min="3" max="4" width="13" style="127" customWidth="1"/>
    <col min="5" max="5" width="14.7109375" style="127" customWidth="1"/>
    <col min="6" max="10" width="13" style="127" customWidth="1"/>
    <col min="11" max="16384" width="8.85546875" style="127"/>
  </cols>
  <sheetData>
    <row r="1" spans="1:10" ht="25.5" x14ac:dyDescent="0.2">
      <c r="A1" s="126" t="s">
        <v>157</v>
      </c>
      <c r="B1" s="126" t="s">
        <v>25</v>
      </c>
      <c r="C1" s="126" t="s">
        <v>162</v>
      </c>
      <c r="D1" s="126" t="s">
        <v>168</v>
      </c>
      <c r="E1" s="139"/>
      <c r="F1" s="139"/>
      <c r="G1" s="139"/>
      <c r="H1" s="139"/>
      <c r="I1" s="139"/>
      <c r="J1" s="139"/>
    </row>
    <row r="2" spans="1:10" ht="15" x14ac:dyDescent="0.25">
      <c r="A2" s="141" t="s">
        <v>111</v>
      </c>
      <c r="B2" s="130">
        <v>12085</v>
      </c>
      <c r="C2" s="130">
        <v>4538</v>
      </c>
      <c r="D2" s="130">
        <v>11335</v>
      </c>
    </row>
    <row r="3" spans="1:10" ht="15" x14ac:dyDescent="0.25">
      <c r="A3" s="141" t="s">
        <v>112</v>
      </c>
      <c r="B3" s="130">
        <v>14362</v>
      </c>
      <c r="C3" s="130">
        <v>6478</v>
      </c>
      <c r="D3" s="130">
        <v>12559</v>
      </c>
    </row>
    <row r="4" spans="1:10" ht="15" x14ac:dyDescent="0.25">
      <c r="A4" s="141" t="s">
        <v>113</v>
      </c>
      <c r="B4" s="130">
        <v>12871</v>
      </c>
      <c r="C4" s="130">
        <v>5545</v>
      </c>
      <c r="D4" s="130">
        <v>13192</v>
      </c>
    </row>
    <row r="5" spans="1:10" ht="15" x14ac:dyDescent="0.25">
      <c r="A5" s="141" t="s">
        <v>114</v>
      </c>
      <c r="B5" s="130">
        <v>15647</v>
      </c>
      <c r="C5" s="130">
        <v>7777</v>
      </c>
      <c r="D5" s="130">
        <v>14242</v>
      </c>
    </row>
    <row r="6" spans="1:10" ht="15" x14ac:dyDescent="0.25">
      <c r="A6" s="141" t="s">
        <v>115</v>
      </c>
      <c r="B6" s="130">
        <v>14974</v>
      </c>
      <c r="C6" s="130">
        <v>7444</v>
      </c>
      <c r="D6" s="130">
        <v>14275</v>
      </c>
    </row>
    <row r="7" spans="1:10" ht="15" x14ac:dyDescent="0.25">
      <c r="A7" s="141" t="s">
        <v>116</v>
      </c>
      <c r="B7" s="130">
        <v>15461</v>
      </c>
      <c r="C7" s="130">
        <v>8176</v>
      </c>
      <c r="D7" s="130">
        <v>15117</v>
      </c>
    </row>
    <row r="8" spans="1:10" ht="15" x14ac:dyDescent="0.25">
      <c r="A8" s="141" t="s">
        <v>117</v>
      </c>
      <c r="B8" s="130">
        <v>18294</v>
      </c>
      <c r="C8" s="130">
        <v>10755</v>
      </c>
      <c r="D8" s="130">
        <v>16462</v>
      </c>
    </row>
    <row r="9" spans="1:10" ht="15" x14ac:dyDescent="0.25">
      <c r="A9" s="141" t="s">
        <v>118</v>
      </c>
      <c r="B9" s="130">
        <v>18605</v>
      </c>
      <c r="C9" s="130">
        <v>10327</v>
      </c>
      <c r="D9" s="130">
        <v>17514</v>
      </c>
    </row>
    <row r="10" spans="1:10" ht="15" x14ac:dyDescent="0.25">
      <c r="A10" s="141" t="s">
        <v>119</v>
      </c>
      <c r="B10" s="130">
        <v>19619</v>
      </c>
      <c r="C10" s="130">
        <v>11503</v>
      </c>
      <c r="D10" s="130">
        <v>18189</v>
      </c>
    </row>
    <row r="11" spans="1:10" ht="15" x14ac:dyDescent="0.25">
      <c r="A11" s="141" t="s">
        <v>33</v>
      </c>
      <c r="B11" s="131">
        <v>21201</v>
      </c>
      <c r="C11" s="131">
        <v>13132</v>
      </c>
      <c r="D11" s="131">
        <v>19097</v>
      </c>
    </row>
    <row r="12" spans="1:10" ht="15" x14ac:dyDescent="0.25">
      <c r="A12" s="141" t="s">
        <v>37</v>
      </c>
      <c r="B12" s="129">
        <v>19133</v>
      </c>
      <c r="C12" s="129">
        <v>10527</v>
      </c>
      <c r="D12" s="129">
        <v>18589</v>
      </c>
    </row>
    <row r="13" spans="1:10" ht="15" x14ac:dyDescent="0.25">
      <c r="A13" s="141" t="s">
        <v>54</v>
      </c>
      <c r="B13" s="129">
        <v>22054</v>
      </c>
      <c r="C13" s="129">
        <v>13349</v>
      </c>
      <c r="D13" s="129">
        <v>20567</v>
      </c>
    </row>
    <row r="14" spans="1:10" x14ac:dyDescent="0.2">
      <c r="B14" s="129"/>
    </row>
    <row r="15" spans="1:10" x14ac:dyDescent="0.2">
      <c r="B15" s="129"/>
    </row>
    <row r="16" spans="1:10" x14ac:dyDescent="0.2">
      <c r="B16" s="129"/>
    </row>
    <row r="17" spans="2:2" x14ac:dyDescent="0.2">
      <c r="B17" s="129"/>
    </row>
    <row r="18" spans="2:2" x14ac:dyDescent="0.2">
      <c r="B18" s="129"/>
    </row>
    <row r="19" spans="2:2" x14ac:dyDescent="0.2">
      <c r="B19" s="129"/>
    </row>
    <row r="20" spans="2:2" x14ac:dyDescent="0.2">
      <c r="B20" s="129"/>
    </row>
    <row r="21" spans="2:2" x14ac:dyDescent="0.2">
      <c r="B21" s="130"/>
    </row>
    <row r="22" spans="2:2" x14ac:dyDescent="0.2">
      <c r="B22" s="130"/>
    </row>
    <row r="23" spans="2:2" x14ac:dyDescent="0.2">
      <c r="B23" s="130"/>
    </row>
    <row r="24" spans="2:2" x14ac:dyDescent="0.2">
      <c r="B24" s="130"/>
    </row>
    <row r="25" spans="2:2" x14ac:dyDescent="0.2">
      <c r="B25" s="130"/>
    </row>
    <row r="26" spans="2:2" x14ac:dyDescent="0.2">
      <c r="B26" s="130"/>
    </row>
    <row r="27" spans="2:2" x14ac:dyDescent="0.2">
      <c r="B27" s="130"/>
    </row>
    <row r="28" spans="2:2" x14ac:dyDescent="0.2">
      <c r="B28" s="130"/>
    </row>
    <row r="29" spans="2:2" x14ac:dyDescent="0.2">
      <c r="B29" s="130"/>
    </row>
    <row r="30" spans="2:2" x14ac:dyDescent="0.2">
      <c r="B30" s="130"/>
    </row>
    <row r="31" spans="2:2" x14ac:dyDescent="0.2">
      <c r="B31" s="130"/>
    </row>
    <row r="32" spans="2:2" x14ac:dyDescent="0.2">
      <c r="B32" s="130"/>
    </row>
    <row r="33" spans="2:2" x14ac:dyDescent="0.2">
      <c r="B33" s="130"/>
    </row>
    <row r="34" spans="2:2" x14ac:dyDescent="0.2">
      <c r="B34" s="130"/>
    </row>
    <row r="35" spans="2:2" x14ac:dyDescent="0.2">
      <c r="B35" s="130"/>
    </row>
    <row r="36" spans="2:2" x14ac:dyDescent="0.2">
      <c r="B36" s="130"/>
    </row>
    <row r="37" spans="2:2" x14ac:dyDescent="0.2">
      <c r="B37" s="130"/>
    </row>
    <row r="38" spans="2:2" x14ac:dyDescent="0.2">
      <c r="B38" s="130"/>
    </row>
    <row r="39" spans="2:2" x14ac:dyDescent="0.2">
      <c r="B39" s="130"/>
    </row>
    <row r="40" spans="2:2" x14ac:dyDescent="0.2">
      <c r="B40" s="130"/>
    </row>
    <row r="41" spans="2:2" x14ac:dyDescent="0.2">
      <c r="B41" s="130"/>
    </row>
    <row r="42" spans="2:2" x14ac:dyDescent="0.2">
      <c r="B42" s="130"/>
    </row>
    <row r="43" spans="2:2" x14ac:dyDescent="0.2">
      <c r="B43" s="130"/>
    </row>
    <row r="44" spans="2:2" x14ac:dyDescent="0.2">
      <c r="B44" s="130"/>
    </row>
    <row r="45" spans="2:2" x14ac:dyDescent="0.2">
      <c r="B45" s="130"/>
    </row>
    <row r="46" spans="2:2" x14ac:dyDescent="0.2">
      <c r="B46" s="130"/>
    </row>
    <row r="47" spans="2:2" x14ac:dyDescent="0.2">
      <c r="B47" s="13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52a62a5d-c671-4f59-8453-00a85cb6d91a"/>
    <ds:schemaRef ds:uri="http://purl.org/dc/dcmitype/"/>
    <ds:schemaRef ds:uri="http://schemas.microsoft.com/office/2006/documentManagement/types"/>
    <ds:schemaRef ds:uri="http://schemas.microsoft.com/office/infopath/2007/PartnerControls"/>
    <ds:schemaRef ds:uri="3c1da50d-9398-43ae-99ce-979307744be1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Figure 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Ates, Aaron - REE-ERS, Kansas City, MO</cp:lastModifiedBy>
  <cp:revision/>
  <dcterms:created xsi:type="dcterms:W3CDTF">2001-11-13T16:22:15Z</dcterms:created>
  <dcterms:modified xsi:type="dcterms:W3CDTF">2021-12-10T22:31:44Z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