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M:\CROPS\Oil Crops\Oil Crops Outlook Files MASH\Outlook reports\October 2021\"/>
    </mc:Choice>
  </mc:AlternateContent>
  <xr:revisionPtr revIDLastSave="0" documentId="13_ncr:1_{E8762800-8C6D-48B9-83FD-04774317E7DA}" xr6:coauthVersionLast="46" xr6:coauthVersionMax="46" xr10:uidLastSave="{00000000-0000-0000-0000-000000000000}"/>
  <bookViews>
    <workbookView xWindow="-120" yWindow="-120" windowWidth="20730" windowHeight="11160" tabRatio="682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42" r:id="rId9"/>
    <sheet name="Figure 1" sheetId="43" r:id="rId10"/>
    <sheet name="Figure 2" sheetId="38" r:id="rId11"/>
  </sheets>
  <definedNames>
    <definedName name="_xlnm.Print_Area" localSheetId="1">'Table 1'!$A$1:$N$49</definedName>
    <definedName name="_xlnm.Print_Area" localSheetId="7">'Table 10'!$A$1:$G$48</definedName>
    <definedName name="_xlnm.Print_Area" localSheetId="2">'Table 2'!$A$1:$J$39</definedName>
    <definedName name="_xlnm.Print_Area" localSheetId="3">'Table 3'!$A$1:$L$52</definedName>
    <definedName name="_xlnm.Print_Area" localSheetId="5">'Table 8'!$A$1:$G$46</definedName>
    <definedName name="_xlnm.Print_Area" localSheetId="6">'Table 9'!$A$1:$I$48</definedName>
    <definedName name="_xlnm.Print_Area" localSheetId="4">'Tables 4-7'!$A$1:$O$52</definedName>
    <definedName name="WASDE_Updated" localSheetId="0">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L7" i="1"/>
  <c r="K7" i="1"/>
  <c r="J7" i="1"/>
  <c r="G7" i="1"/>
  <c r="J36" i="9"/>
  <c r="D36" i="9"/>
  <c r="H36" i="2"/>
  <c r="D36" i="2"/>
  <c r="L45" i="1"/>
  <c r="G45" i="1"/>
  <c r="E36" i="2" l="1"/>
  <c r="I36" i="2" s="1"/>
  <c r="G36" i="2" s="1"/>
  <c r="E36" i="9"/>
  <c r="K36" i="9" s="1"/>
  <c r="G36" i="9" s="1"/>
  <c r="J45" i="1"/>
  <c r="J44" i="1"/>
  <c r="F7" i="1" l="1"/>
  <c r="J37" i="9"/>
  <c r="H37" i="9"/>
  <c r="D37" i="9"/>
  <c r="C37" i="9"/>
  <c r="B36" i="9"/>
  <c r="B36" i="2"/>
  <c r="H37" i="2"/>
  <c r="D37" i="2"/>
  <c r="C37" i="2"/>
  <c r="L46" i="1"/>
  <c r="L47" i="1" s="1"/>
  <c r="J46" i="1"/>
  <c r="G46" i="1"/>
  <c r="E46" i="1"/>
  <c r="G47" i="1"/>
  <c r="I31" i="3"/>
  <c r="G31" i="3"/>
  <c r="E31" i="3"/>
  <c r="J6" i="3"/>
  <c r="I19" i="3"/>
  <c r="H44" i="3"/>
  <c r="D44" i="3"/>
  <c r="H46" i="1" l="1"/>
  <c r="M46" i="1" s="1"/>
  <c r="K46" i="1"/>
  <c r="J47" i="1"/>
  <c r="J35" i="9"/>
  <c r="E35" i="9"/>
  <c r="K35" i="9" s="1"/>
  <c r="D35" i="9"/>
  <c r="B35" i="9"/>
  <c r="H35" i="2"/>
  <c r="E35" i="2"/>
  <c r="I35" i="2" s="1"/>
  <c r="I37" i="2" s="1"/>
  <c r="D35" i="2"/>
  <c r="B35" i="2"/>
  <c r="L44" i="1"/>
  <c r="G44" i="1"/>
  <c r="G35" i="9" l="1"/>
  <c r="G35" i="2"/>
  <c r="G37" i="2" s="1"/>
  <c r="L6" i="9"/>
  <c r="I35" i="9" l="1"/>
  <c r="D46" i="3"/>
  <c r="B21" i="3"/>
  <c r="B20" i="3"/>
  <c r="B8" i="9"/>
  <c r="B7" i="9"/>
  <c r="D8" i="1"/>
  <c r="J34" i="9"/>
  <c r="E34" i="9"/>
  <c r="K34" i="9" s="1"/>
  <c r="D34" i="9"/>
  <c r="I34" i="2"/>
  <c r="H34" i="2"/>
  <c r="G34" i="2"/>
  <c r="E34" i="2"/>
  <c r="D34" i="2"/>
  <c r="L43" i="1"/>
  <c r="G43" i="1"/>
  <c r="B34" i="9"/>
  <c r="B34" i="2"/>
  <c r="J43" i="1"/>
  <c r="G34" i="9" l="1"/>
  <c r="L44" i="3"/>
  <c r="J33" i="9"/>
  <c r="J32" i="9"/>
  <c r="J31" i="9"/>
  <c r="J30" i="9"/>
  <c r="J29" i="9"/>
  <c r="J28" i="9"/>
  <c r="J27" i="9"/>
  <c r="J26" i="9"/>
  <c r="D33" i="9"/>
  <c r="D32" i="9"/>
  <c r="D31" i="9"/>
  <c r="D30" i="9"/>
  <c r="D29" i="9"/>
  <c r="D28" i="9"/>
  <c r="D27" i="9"/>
  <c r="D26" i="9"/>
  <c r="J22" i="9"/>
  <c r="J21" i="9"/>
  <c r="J20" i="9"/>
  <c r="J19" i="9"/>
  <c r="J18" i="9"/>
  <c r="J17" i="9"/>
  <c r="J16" i="9"/>
  <c r="J15" i="9"/>
  <c r="J14" i="9"/>
  <c r="J13" i="9"/>
  <c r="J12" i="9"/>
  <c r="J11" i="9"/>
  <c r="D22" i="9"/>
  <c r="D21" i="9"/>
  <c r="D20" i="9"/>
  <c r="D19" i="9"/>
  <c r="D18" i="9"/>
  <c r="D17" i="9"/>
  <c r="D16" i="9"/>
  <c r="D15" i="9"/>
  <c r="D14" i="9"/>
  <c r="D13" i="9"/>
  <c r="D12" i="9"/>
  <c r="D11" i="9"/>
  <c r="I34" i="9" l="1"/>
  <c r="H33" i="2"/>
  <c r="H32" i="2"/>
  <c r="H31" i="2"/>
  <c r="H30" i="2"/>
  <c r="H29" i="2"/>
  <c r="H28" i="2"/>
  <c r="H27" i="2"/>
  <c r="H26" i="2"/>
  <c r="D33" i="2"/>
  <c r="D32" i="2"/>
  <c r="D31" i="2"/>
  <c r="D30" i="2"/>
  <c r="D29" i="2"/>
  <c r="D28" i="2"/>
  <c r="D27" i="2"/>
  <c r="D26" i="2"/>
  <c r="H22" i="2"/>
  <c r="H21" i="2"/>
  <c r="H20" i="2"/>
  <c r="H19" i="2"/>
  <c r="H18" i="2"/>
  <c r="H17" i="2"/>
  <c r="H16" i="2"/>
  <c r="H15" i="2"/>
  <c r="H14" i="2"/>
  <c r="H13" i="2"/>
  <c r="H12" i="2"/>
  <c r="H11" i="2"/>
  <c r="D22" i="2"/>
  <c r="D21" i="2"/>
  <c r="D20" i="2"/>
  <c r="D19" i="2"/>
  <c r="D18" i="2"/>
  <c r="D17" i="2"/>
  <c r="D16" i="2"/>
  <c r="D15" i="2"/>
  <c r="D14" i="2"/>
  <c r="D13" i="2"/>
  <c r="D12" i="2"/>
  <c r="D11" i="2"/>
  <c r="M8" i="1"/>
  <c r="M7" i="1"/>
  <c r="L41" i="1" l="1"/>
  <c r="L40" i="1"/>
  <c r="L39" i="1"/>
  <c r="L37" i="1"/>
  <c r="L36" i="1"/>
  <c r="L35" i="1"/>
  <c r="L33" i="1"/>
  <c r="L32" i="1"/>
  <c r="L31" i="1"/>
  <c r="G41" i="1"/>
  <c r="G40" i="1"/>
  <c r="G39" i="1"/>
  <c r="G37" i="1"/>
  <c r="G36" i="1"/>
  <c r="G35" i="1"/>
  <c r="G33" i="1"/>
  <c r="G32" i="1"/>
  <c r="G31" i="1"/>
  <c r="J26" i="1"/>
  <c r="J25" i="1"/>
  <c r="J24" i="1"/>
  <c r="J22" i="1"/>
  <c r="J21" i="1"/>
  <c r="J20" i="1"/>
  <c r="J18" i="1"/>
  <c r="J17" i="1"/>
  <c r="J16" i="1"/>
  <c r="J14" i="1"/>
  <c r="J13" i="1"/>
  <c r="J12" i="1"/>
  <c r="J41" i="1"/>
  <c r="J40" i="1"/>
  <c r="J39" i="1"/>
  <c r="J37" i="1"/>
  <c r="J36" i="1"/>
  <c r="J35" i="1"/>
  <c r="J33" i="1"/>
  <c r="J32" i="1"/>
  <c r="J31" i="1"/>
  <c r="L26" i="1"/>
  <c r="L25" i="1"/>
  <c r="L24" i="1"/>
  <c r="L22" i="1"/>
  <c r="L21" i="1"/>
  <c r="L20" i="1"/>
  <c r="L18" i="1"/>
  <c r="L17" i="1"/>
  <c r="L16" i="1"/>
  <c r="L14" i="1"/>
  <c r="L13" i="1"/>
  <c r="G26" i="1"/>
  <c r="G25" i="1"/>
  <c r="G24" i="1"/>
  <c r="G22" i="1"/>
  <c r="G21" i="1"/>
  <c r="G20" i="1"/>
  <c r="G18" i="1"/>
  <c r="G17" i="1"/>
  <c r="G16" i="1"/>
  <c r="G14" i="1"/>
  <c r="G13" i="1"/>
  <c r="L12" i="1"/>
  <c r="G12" i="1"/>
  <c r="J19" i="1" l="1"/>
  <c r="D23" i="9"/>
  <c r="D6" i="9" s="1"/>
  <c r="H23" i="9"/>
  <c r="H6" i="9" s="1"/>
  <c r="J23" i="9"/>
  <c r="J6" i="9" s="1"/>
  <c r="I6" i="1"/>
  <c r="E34" i="1" l="1"/>
  <c r="I32" i="9" l="1"/>
  <c r="B33" i="9"/>
  <c r="B33" i="2"/>
  <c r="E33" i="2" s="1"/>
  <c r="E42" i="1"/>
  <c r="G42" i="1"/>
  <c r="H42" i="1" l="1"/>
  <c r="M42" i="1" s="1"/>
  <c r="E33" i="9"/>
  <c r="K33" i="9" s="1"/>
  <c r="G33" i="9" s="1"/>
  <c r="G37" i="9" s="1"/>
  <c r="I33" i="2"/>
  <c r="G33" i="2" s="1"/>
  <c r="B40" i="9"/>
  <c r="I33" i="9" l="1"/>
  <c r="I37" i="9" s="1"/>
  <c r="I21" i="3"/>
  <c r="I20" i="3"/>
  <c r="B8" i="2" l="1"/>
  <c r="L42" i="1" l="1"/>
  <c r="B32" i="9" l="1"/>
  <c r="E32" i="9" s="1"/>
  <c r="J42" i="1"/>
  <c r="K42" i="1" s="1"/>
  <c r="B32" i="2"/>
  <c r="E32" i="2" s="1"/>
  <c r="K32" i="9" l="1"/>
  <c r="I32" i="2"/>
  <c r="G32" i="2" l="1"/>
  <c r="A5" i="10" l="1"/>
  <c r="B31" i="9" l="1"/>
  <c r="E31" i="9" s="1"/>
  <c r="K31" i="9" s="1"/>
  <c r="B31" i="2"/>
  <c r="E31" i="2"/>
  <c r="E8" i="2"/>
  <c r="E8" i="9"/>
  <c r="K8" i="9" s="1"/>
  <c r="G8" i="9" s="1"/>
  <c r="I8" i="9" s="1"/>
  <c r="I8" i="2" l="1"/>
  <c r="G8" i="2" s="1"/>
  <c r="I31" i="2"/>
  <c r="G31" i="2" s="1"/>
  <c r="B8" i="3"/>
  <c r="E8" i="3" s="1"/>
  <c r="E21" i="3"/>
  <c r="B33" i="3"/>
  <c r="E46" i="3"/>
  <c r="H46" i="3" s="1"/>
  <c r="N46" i="3" s="1"/>
  <c r="L46" i="3" s="1"/>
  <c r="D45" i="3"/>
  <c r="E33" i="3" l="1"/>
  <c r="I33" i="3" s="1"/>
  <c r="G33" i="3" s="1"/>
  <c r="B30" i="2"/>
  <c r="E38" i="1"/>
  <c r="E30" i="2" l="1"/>
  <c r="I30" i="2" l="1"/>
  <c r="G30" i="2" s="1"/>
  <c r="E7" i="9"/>
  <c r="K7" i="9" s="1"/>
  <c r="G7" i="9" s="1"/>
  <c r="I7" i="9" s="1"/>
  <c r="E20" i="3"/>
  <c r="B30" i="9"/>
  <c r="E30" i="9" s="1"/>
  <c r="K30" i="9" s="1"/>
  <c r="B49" i="5" l="1"/>
  <c r="L38" i="1" l="1"/>
  <c r="G38" i="1"/>
  <c r="H38" i="1" s="1"/>
  <c r="M38" i="1" s="1"/>
  <c r="B29" i="2" l="1"/>
  <c r="E29" i="2" s="1"/>
  <c r="B29" i="9"/>
  <c r="E29" i="9" s="1"/>
  <c r="K29" i="9" s="1"/>
  <c r="J38" i="1"/>
  <c r="F47" i="1"/>
  <c r="I29" i="2" l="1"/>
  <c r="K38" i="1"/>
  <c r="G29" i="2" l="1"/>
  <c r="B28" i="9" l="1"/>
  <c r="E28" i="9" s="1"/>
  <c r="K28" i="9" s="1"/>
  <c r="B28" i="2" l="1"/>
  <c r="E28" i="2" s="1"/>
  <c r="I28" i="2" l="1"/>
  <c r="G28" i="2" s="1"/>
  <c r="L34" i="1"/>
  <c r="B27" i="9" l="1"/>
  <c r="E27" i="9" s="1"/>
  <c r="K27" i="9" s="1"/>
  <c r="B27" i="2"/>
  <c r="E27" i="2" s="1"/>
  <c r="I27" i="2" l="1"/>
  <c r="G27" i="2" s="1"/>
  <c r="J34" i="1"/>
  <c r="B26" i="2"/>
  <c r="E37" i="2" s="1"/>
  <c r="B22" i="2"/>
  <c r="E22" i="2" s="1"/>
  <c r="I22" i="2" s="1"/>
  <c r="G22" i="2" s="1"/>
  <c r="B21" i="2"/>
  <c r="E21" i="2" s="1"/>
  <c r="I21" i="2" s="1"/>
  <c r="G21" i="2" s="1"/>
  <c r="B20" i="2"/>
  <c r="E20" i="2" s="1"/>
  <c r="I20" i="2" s="1"/>
  <c r="G20" i="2" s="1"/>
  <c r="B19" i="2"/>
  <c r="E19" i="2" s="1"/>
  <c r="I19" i="2" s="1"/>
  <c r="G19" i="2" s="1"/>
  <c r="B18" i="2"/>
  <c r="E18" i="2" s="1"/>
  <c r="I18" i="2" s="1"/>
  <c r="G18" i="2" s="1"/>
  <c r="B17" i="2"/>
  <c r="E17" i="2" s="1"/>
  <c r="I17" i="2" s="1"/>
  <c r="G17" i="2" s="1"/>
  <c r="B16" i="2"/>
  <c r="E16" i="2" s="1"/>
  <c r="I16" i="2" s="1"/>
  <c r="G16" i="2" s="1"/>
  <c r="B15" i="2"/>
  <c r="E15" i="2" s="1"/>
  <c r="I15" i="2" s="1"/>
  <c r="G15" i="2" s="1"/>
  <c r="B14" i="2"/>
  <c r="E14" i="2" s="1"/>
  <c r="I14" i="2" s="1"/>
  <c r="G14" i="2" s="1"/>
  <c r="B13" i="2"/>
  <c r="E13" i="2" s="1"/>
  <c r="I13" i="2" s="1"/>
  <c r="G13" i="2" s="1"/>
  <c r="B12" i="2"/>
  <c r="E12" i="2" s="1"/>
  <c r="I12" i="2" s="1"/>
  <c r="G12" i="2" s="1"/>
  <c r="B11" i="2"/>
  <c r="C23" i="9"/>
  <c r="C6" i="9" s="1"/>
  <c r="B22" i="9"/>
  <c r="E22" i="9" s="1"/>
  <c r="B21" i="9"/>
  <c r="B20" i="9"/>
  <c r="B19" i="9"/>
  <c r="E19" i="9" s="1"/>
  <c r="B18" i="9"/>
  <c r="B17" i="9"/>
  <c r="E17" i="9" s="1"/>
  <c r="K17" i="9" s="1"/>
  <c r="G17" i="9" s="1"/>
  <c r="I17" i="9" s="1"/>
  <c r="B16" i="9"/>
  <c r="E16" i="9" s="1"/>
  <c r="K16" i="9" s="1"/>
  <c r="G16" i="9" s="1"/>
  <c r="I16" i="9" s="1"/>
  <c r="B15" i="9"/>
  <c r="E15" i="9" s="1"/>
  <c r="B14" i="9"/>
  <c r="E14" i="9" s="1"/>
  <c r="K14" i="9" s="1"/>
  <c r="G14" i="9" s="1"/>
  <c r="I14" i="9" s="1"/>
  <c r="B13" i="9"/>
  <c r="B12" i="9"/>
  <c r="B11" i="9"/>
  <c r="B6" i="9" s="1"/>
  <c r="E23" i="9" l="1"/>
  <c r="E6" i="9" s="1"/>
  <c r="E11" i="2"/>
  <c r="I11" i="2" s="1"/>
  <c r="G11" i="2" s="1"/>
  <c r="B6" i="2"/>
  <c r="K19" i="9"/>
  <c r="G19" i="9" s="1"/>
  <c r="I19" i="9" s="1"/>
  <c r="D23" i="2"/>
  <c r="D6" i="2" s="1"/>
  <c r="H23" i="2"/>
  <c r="H6" i="2" s="1"/>
  <c r="E12" i="9"/>
  <c r="K12" i="9" s="1"/>
  <c r="G12" i="9" s="1"/>
  <c r="I12" i="9" s="1"/>
  <c r="E20" i="9"/>
  <c r="K20" i="9" s="1"/>
  <c r="G20" i="9" s="1"/>
  <c r="I20" i="9" s="1"/>
  <c r="E18" i="9"/>
  <c r="K18" i="9" s="1"/>
  <c r="G18" i="9" s="1"/>
  <c r="I18" i="9" s="1"/>
  <c r="K15" i="9"/>
  <c r="G15" i="9" s="1"/>
  <c r="I15" i="9" s="1"/>
  <c r="E13" i="9"/>
  <c r="K13" i="9" s="1"/>
  <c r="G13" i="9" s="1"/>
  <c r="I13" i="9" s="1"/>
  <c r="E21" i="9"/>
  <c r="K21" i="9" s="1"/>
  <c r="G21" i="9" s="1"/>
  <c r="I21" i="9" s="1"/>
  <c r="E11" i="9"/>
  <c r="K11" i="9" s="1"/>
  <c r="G34" i="1"/>
  <c r="H47" i="1" l="1"/>
  <c r="H34" i="1"/>
  <c r="M34" i="1" s="1"/>
  <c r="M47" i="1" s="1"/>
  <c r="G11" i="9"/>
  <c r="K34" i="1" l="1"/>
  <c r="K47" i="1" s="1"/>
  <c r="B26" i="9"/>
  <c r="E37" i="9" s="1"/>
  <c r="K22" i="9"/>
  <c r="I11" i="9"/>
  <c r="G22" i="9" l="1"/>
  <c r="G23" i="9" s="1"/>
  <c r="K23" i="9"/>
  <c r="K6" i="9" s="1"/>
  <c r="F15" i="1"/>
  <c r="I22" i="9" l="1"/>
  <c r="I23" i="9" s="1"/>
  <c r="I6" i="9" s="1"/>
  <c r="G6" i="9"/>
  <c r="E27" i="1"/>
  <c r="F28" i="1" l="1"/>
  <c r="F6" i="1" s="1"/>
  <c r="L27" i="1" l="1"/>
  <c r="G27" i="1"/>
  <c r="H27" i="1" s="1"/>
  <c r="M27" i="1" s="1"/>
  <c r="J27" i="1" l="1"/>
  <c r="K27" i="1" s="1"/>
  <c r="E23" i="1" l="1"/>
  <c r="E45" i="3" l="1"/>
  <c r="H45" i="3" s="1"/>
  <c r="B32" i="3"/>
  <c r="E32" i="3" s="1"/>
  <c r="B7" i="3"/>
  <c r="E7" i="3" s="1"/>
  <c r="J7" i="3" s="1"/>
  <c r="N45" i="3" l="1"/>
  <c r="L45" i="3" s="1"/>
  <c r="I32" i="3"/>
  <c r="G32" i="3" s="1"/>
  <c r="L23" i="1"/>
  <c r="G23" i="1" l="1"/>
  <c r="H23" i="1" l="1"/>
  <c r="M23" i="1" s="1"/>
  <c r="J23" i="1"/>
  <c r="K23" i="1" l="1"/>
  <c r="D7" i="1" l="1"/>
  <c r="E19" i="1" l="1"/>
  <c r="B50" i="3" l="1"/>
  <c r="L19" i="1" l="1"/>
  <c r="G19" i="1"/>
  <c r="H19" i="1" l="1"/>
  <c r="M19" i="1" s="1"/>
  <c r="K19" i="1" s="1"/>
  <c r="G22" i="6" l="1"/>
  <c r="L15" i="1" l="1"/>
  <c r="L28" i="1" s="1"/>
  <c r="L6" i="1" s="1"/>
  <c r="G15" i="1"/>
  <c r="G28" i="1" s="1"/>
  <c r="G6" i="1" s="1"/>
  <c r="H28" i="1" l="1"/>
  <c r="H6" i="1" s="1"/>
  <c r="J15" i="1"/>
  <c r="J28" i="1" s="1"/>
  <c r="J6" i="1" s="1"/>
  <c r="H15" i="1"/>
  <c r="E26" i="9" l="1"/>
  <c r="M15" i="1"/>
  <c r="M28" i="1" s="1"/>
  <c r="M6" i="1" s="1"/>
  <c r="N6" i="1" s="1"/>
  <c r="E7" i="1" s="1"/>
  <c r="H7" i="1" s="1"/>
  <c r="E26" i="2"/>
  <c r="B50" i="1"/>
  <c r="N7" i="1" l="1"/>
  <c r="E8" i="1" s="1"/>
  <c r="H8" i="1" s="1"/>
  <c r="N8" i="1" s="1"/>
  <c r="K26" i="9"/>
  <c r="K37" i="9" s="1"/>
  <c r="I26" i="2"/>
  <c r="G26" i="2"/>
  <c r="K15" i="1"/>
  <c r="K28" i="1" s="1"/>
  <c r="K6" i="1" s="1"/>
  <c r="B50" i="6" l="1"/>
  <c r="B49" i="4"/>
  <c r="B40" i="2"/>
  <c r="C23" i="2" l="1"/>
  <c r="E23" i="2" l="1"/>
  <c r="E6" i="2" s="1"/>
  <c r="C6" i="2"/>
  <c r="I23" i="2"/>
  <c r="I6" i="2" s="1"/>
  <c r="G23" i="2"/>
  <c r="G6" i="2" s="1"/>
  <c r="J6" i="2" l="1"/>
  <c r="B7" i="2" s="1"/>
  <c r="E7" i="2" s="1"/>
  <c r="I7" i="2" s="1"/>
  <c r="G7" i="2" l="1"/>
  <c r="J8" i="3" l="1"/>
  <c r="I7" i="3"/>
</calcChain>
</file>

<file path=xl/sharedStrings.xml><?xml version="1.0" encoding="utf-8"?>
<sst xmlns="http://schemas.openxmlformats.org/spreadsheetml/2006/main" count="578" uniqueCount="184">
  <si>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</si>
  <si>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</si>
  <si>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</si>
  <si>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</si>
  <si>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</si>
  <si>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</si>
  <si>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</si>
  <si>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</si>
  <si>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</si>
  <si>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</si>
  <si>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</si>
  <si>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</si>
  <si>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</si>
  <si>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</si>
  <si>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</si>
  <si>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</si>
  <si>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 Million pounds</t>
  </si>
  <si>
    <t>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</si>
  <si>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</si>
  <si>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</si>
  <si>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</si>
  <si>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</si>
  <si>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</si>
  <si>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</si>
  <si>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</si>
  <si>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</si>
  <si>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</si>
  <si>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</si>
  <si>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</si>
  <si>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</si>
  <si>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</si>
  <si>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</si>
  <si>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</si>
  <si>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</si>
  <si>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</si>
  <si>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</si>
  <si>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</si>
  <si>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</si>
  <si>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</si>
  <si>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</si>
  <si>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</si>
  <si>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>Canola</t>
  </si>
  <si>
    <t xml:space="preserve">stocks  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</si>
  <si>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</si>
  <si>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</si>
  <si>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</si>
  <si>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</si>
  <si>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</si>
  <si>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</si>
  <si>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</si>
  <si>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</si>
  <si>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</si>
  <si>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</si>
  <si>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</si>
  <si>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</si>
  <si>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</si>
  <si>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</si>
  <si>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</si>
  <si>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</si>
  <si>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</si>
  <si>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Pounds/acre</t>
  </si>
  <si>
    <t>Year beginning</t>
  </si>
  <si>
    <t>October 1</t>
  </si>
  <si>
    <t>August 1</t>
  </si>
  <si>
    <t>September 1</t>
  </si>
  <si>
    <t>Sunflowerseed</t>
  </si>
  <si>
    <t>2012/13</t>
  </si>
  <si>
    <t>Supply</t>
  </si>
  <si>
    <t>Million acres</t>
  </si>
  <si>
    <t>1,000 acres</t>
  </si>
  <si>
    <t xml:space="preserve">  Total  </t>
  </si>
  <si>
    <t xml:space="preserve"> stocks </t>
  </si>
  <si>
    <t>2013/14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</si>
  <si>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</si>
  <si>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</si>
  <si>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</si>
  <si>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</si>
  <si>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</si>
  <si>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</si>
  <si>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</si>
  <si>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</si>
  <si>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</si>
  <si>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</si>
  <si>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</si>
  <si>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</si>
  <si>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</si>
  <si>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</si>
  <si>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</si>
  <si>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2017/18</t>
  </si>
  <si>
    <t>Oil Crops Outlook Tables</t>
  </si>
  <si>
    <t>Last update</t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</si>
  <si>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</si>
  <si>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</si>
  <si>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</si>
  <si>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</si>
  <si>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</si>
  <si>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</si>
  <si>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</si>
  <si>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</si>
  <si>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</si>
  <si>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</si>
  <si>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</si>
  <si>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</si>
  <si>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</si>
  <si>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</si>
  <si>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</si>
  <si>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</si>
  <si>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</si>
  <si>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</si>
  <si>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</si>
  <si>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</si>
  <si>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</si>
  <si>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t>2018/19</t>
  </si>
  <si>
    <t>---------------------------------------------Million bushels----------------------------------------------------------</t>
  </si>
  <si>
    <t>2019/20</t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</si>
  <si>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36.744 bushels and 1 hectare equals 2.471 acres.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</si>
  <si>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Note: 1 metric ton equals 1.10231 short tons. NA: Not available.</t>
    </r>
  </si>
  <si>
    <r>
      <t>2020/21</t>
    </r>
    <r>
      <rPr>
        <vertAlign val="superscript"/>
        <sz val="11"/>
        <rFont val="Arial"/>
        <family val="2"/>
      </rPr>
      <t>1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</si>
  <si>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</si>
  <si>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 xml:space="preserve"> June</t>
  </si>
  <si>
    <t xml:space="preserve"> July</t>
  </si>
  <si>
    <t xml:space="preserve"> August</t>
  </si>
  <si>
    <t>2020/21</t>
  </si>
  <si>
    <t>Total to date</t>
  </si>
  <si>
    <t>Bushels per acre</t>
  </si>
  <si>
    <t>Soybeans: Quarterly U.S. supply and disappearance</t>
  </si>
  <si>
    <t xml:space="preserve">Dollars per bushel </t>
  </si>
  <si>
    <t xml:space="preserve">Dollars per short ton  </t>
  </si>
  <si>
    <t>Cents per pound</t>
  </si>
  <si>
    <t>Dollars per hundredweight</t>
  </si>
  <si>
    <t>------------------------------------------------------- Cents per pound----------------------------------------------</t>
  </si>
  <si>
    <t>--------------------------------------------------- Dollars per short ton------------------------------------------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</si>
  <si>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</si>
  <si>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</si>
  <si>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</si>
  <si>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</si>
  <si>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</si>
  <si>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</si>
  <si>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</si>
  <si>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</si>
  <si>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</si>
  <si>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Table 1—Soybeans: U.S. supply and disappearance</t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</si>
  <si>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</si>
  <si>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NA = Not available.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</si>
  <si>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Minneapolis, MN. 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</si>
  <si>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</si>
  <si>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</si>
  <si>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r>
      <t>2021/22</t>
    </r>
    <r>
      <rPr>
        <vertAlign val="superscript"/>
        <sz val="11"/>
        <rFont val="Arial"/>
        <family val="2"/>
      </rPr>
      <t>2</t>
    </r>
  </si>
  <si>
    <r>
      <t>2021/22</t>
    </r>
    <r>
      <rPr>
        <vertAlign val="superscript"/>
        <sz val="11"/>
        <rFont val="Arial"/>
        <family val="2"/>
      </rPr>
      <t>1</t>
    </r>
  </si>
  <si>
    <t>Million Pounds</t>
  </si>
  <si>
    <r>
      <t>2020/21</t>
    </r>
    <r>
      <rPr>
        <vertAlign val="superscript"/>
        <sz val="11"/>
        <rFont val="Arial"/>
        <family val="2"/>
      </rPr>
      <t>4</t>
    </r>
  </si>
  <si>
    <r>
      <t>2021/22</t>
    </r>
    <r>
      <rPr>
        <vertAlign val="superscript"/>
        <sz val="11"/>
        <rFont val="Arial"/>
        <family val="2"/>
      </rPr>
      <t>4</t>
    </r>
  </si>
  <si>
    <r>
      <t>Biofuel</t>
    </r>
    <r>
      <rPr>
        <vertAlign val="superscript"/>
        <sz val="11"/>
        <rFont val="Arial"/>
        <family val="2"/>
      </rPr>
      <t>3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</si>
  <si>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 Note: 1 metric ton equals 2,204.622 pounds. NA: Not available.</t>
    </r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</si>
  <si>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</si>
  <si>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</si>
  <si>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 xml:space="preserve">Sources: USDA, Agricultural Marketing Service, </t>
    </r>
    <r>
      <rPr>
        <i/>
        <sz val="11"/>
        <rFont val="Arial"/>
        <family val="2"/>
      </rPr>
      <t>Monthly Feedstuff Prices.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</si>
  <si>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High-protein,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</si>
  <si>
    <t xml:space="preserve">Contact: Aaron Ates </t>
  </si>
  <si>
    <t>Food &amp; other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</si>
  <si>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</t>
    </r>
  </si>
  <si>
    <t>Soybean oil</t>
  </si>
  <si>
    <t>Harvested acres</t>
  </si>
  <si>
    <t>2021/22</t>
  </si>
  <si>
    <t>Marketing year</t>
  </si>
  <si>
    <t>Soybean meal</t>
  </si>
  <si>
    <t>Month</t>
  </si>
  <si>
    <t>Oct</t>
  </si>
  <si>
    <t>Nov</t>
  </si>
  <si>
    <t>Dec</t>
  </si>
  <si>
    <t>Jan</t>
  </si>
  <si>
    <t>Feb</t>
  </si>
  <si>
    <t>Aug</t>
  </si>
  <si>
    <t>Sept</t>
  </si>
  <si>
    <t>Residual</t>
  </si>
  <si>
    <t xml:space="preserve">  September–November</t>
  </si>
  <si>
    <t xml:space="preserve">  December–February</t>
  </si>
  <si>
    <t xml:space="preserve">  March–May</t>
  </si>
  <si>
    <t xml:space="preserve"> June–August</t>
  </si>
  <si>
    <t xml:space="preserve">  June–August</t>
  </si>
  <si>
    <t>Beginning stocks</t>
  </si>
  <si>
    <t>Domestic use</t>
  </si>
  <si>
    <t>Ending stocks</t>
  </si>
  <si>
    <r>
      <t xml:space="preserve">Sources: USDA, Agricultural Marketing Service, </t>
    </r>
    <r>
      <rPr>
        <i/>
        <sz val="11"/>
        <rFont val="Arial"/>
        <family val="2"/>
      </rPr>
      <t>Monthly Feedstuff Prices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</si>
</sst>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#,##0.00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</font>
    <font>
      <sz val="10"/>
      <name val="Courier New"/>
      <family val="3"/>
    </font>
    <font>
      <u/>
      <sz val="11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23" fillId="0" borderId="0"/>
    <xf numFmtId="0" fontId="8" fillId="0" borderId="0"/>
    <xf numFmtId="0" fontId="7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" fillId="0" borderId="0"/>
    <xf numFmtId="44" fontId="9" fillId="0" borderId="0" applyFont="0" applyFill="0" applyBorder="0" applyAlignment="0" applyProtection="0"/>
  </cellStyleXfs>
  <cellXfs count="172">
    <xf numFmtId="0" fontId="0" fillId="0" borderId="0" xfId="0"/>
    <xf numFmtId="0" fontId="10" fillId="0" borderId="0" xfId="8" applyFont="1"/>
    <xf numFmtId="0" fontId="11" fillId="0" borderId="0" xfId="8" applyFont="1"/>
    <xf numFmtId="0" fontId="10" fillId="0" borderId="0" xfId="8" applyFont="1" applyFill="1"/>
    <xf numFmtId="0" fontId="10" fillId="0" borderId="0" xfId="8" quotePrefix="1" applyFont="1"/>
    <xf numFmtId="0" fontId="16" fillId="0" borderId="0" xfId="8" applyFont="1" applyFill="1"/>
    <xf numFmtId="0" fontId="17" fillId="0" borderId="0" xfId="8" applyFont="1"/>
    <xf numFmtId="0" fontId="18" fillId="0" borderId="0" xfId="0" applyFont="1"/>
    <xf numFmtId="169" fontId="18" fillId="0" borderId="1" xfId="1" applyNumberFormat="1" applyFont="1" applyFill="1" applyBorder="1" applyAlignment="1">
      <alignment horizontal="right"/>
    </xf>
    <xf numFmtId="169" fontId="18" fillId="0" borderId="0" xfId="1" applyNumberFormat="1" applyFont="1" applyFill="1" applyAlignment="1">
      <alignment horizontal="right" indent="1"/>
    </xf>
    <xf numFmtId="169" fontId="18" fillId="0" borderId="0" xfId="1" applyNumberFormat="1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169" fontId="18" fillId="0" borderId="0" xfId="1" applyNumberFormat="1" applyFont="1" applyFill="1" applyBorder="1" applyAlignment="1">
      <alignment horizontal="right" indent="1"/>
    </xf>
    <xf numFmtId="0" fontId="18" fillId="0" borderId="0" xfId="8" applyFont="1" applyBorder="1" applyAlignment="1">
      <alignment vertical="top" wrapText="1"/>
    </xf>
    <xf numFmtId="0" fontId="24" fillId="0" borderId="0" xfId="7" applyFont="1" applyAlignment="1">
      <alignment horizontal="left"/>
    </xf>
    <xf numFmtId="0" fontId="27" fillId="0" borderId="0" xfId="5" applyFont="1" applyAlignment="1" applyProtection="1"/>
    <xf numFmtId="14" fontId="24" fillId="0" borderId="0" xfId="7" applyNumberFormat="1" applyFont="1" applyAlignment="1">
      <alignment horizontal="left"/>
    </xf>
    <xf numFmtId="0" fontId="27" fillId="0" borderId="0" xfId="4" applyFont="1" applyAlignment="1" applyProtection="1"/>
    <xf numFmtId="0" fontId="18" fillId="0" borderId="0" xfId="7" quotePrefix="1" applyFont="1" applyAlignment="1">
      <alignment horizontal="left"/>
    </xf>
    <xf numFmtId="0" fontId="18" fillId="0" borderId="0" xfId="8" applyFont="1" applyBorder="1" applyAlignment="1">
      <alignment wrapText="1"/>
    </xf>
    <xf numFmtId="169" fontId="18" fillId="0" borderId="0" xfId="1" applyNumberFormat="1" applyFont="1" applyFill="1" applyBorder="1" applyAlignment="1">
      <alignment horizontal="right"/>
    </xf>
    <xf numFmtId="169" fontId="18" fillId="0" borderId="0" xfId="0" applyNumberFormat="1" applyFont="1" applyFill="1"/>
    <xf numFmtId="2" fontId="18" fillId="0" borderId="1" xfId="0" applyNumberFormat="1" applyFont="1" applyFill="1" applyBorder="1" applyAlignment="1">
      <alignment horizontal="right" indent="2"/>
    </xf>
    <xf numFmtId="43" fontId="18" fillId="0" borderId="1" xfId="1" applyFont="1" applyFill="1" applyBorder="1" applyAlignment="1">
      <alignment horizontal="center"/>
    </xf>
    <xf numFmtId="0" fontId="18" fillId="0" borderId="1" xfId="0" applyFont="1" applyFill="1" applyBorder="1"/>
    <xf numFmtId="0" fontId="0" fillId="0" borderId="0" xfId="0" applyFill="1"/>
    <xf numFmtId="0" fontId="18" fillId="0" borderId="0" xfId="0" applyFont="1" applyFill="1"/>
    <xf numFmtId="0" fontId="18" fillId="0" borderId="2" xfId="0" applyFont="1" applyFill="1" applyBorder="1" applyAlignment="1">
      <alignment horizontal="right"/>
    </xf>
    <xf numFmtId="0" fontId="18" fillId="0" borderId="0" xfId="0" applyFont="1" applyFill="1" applyAlignment="1">
      <alignment horizontal="center"/>
    </xf>
    <xf numFmtId="0" fontId="0" fillId="0" borderId="2" xfId="0" applyFill="1" applyBorder="1"/>
    <xf numFmtId="0" fontId="18" fillId="0" borderId="0" xfId="0" applyFont="1" applyFill="1" applyBorder="1"/>
    <xf numFmtId="0" fontId="18" fillId="0" borderId="2" xfId="0" applyFont="1" applyFill="1" applyBorder="1" applyAlignment="1">
      <alignment horizontal="left"/>
    </xf>
    <xf numFmtId="0" fontId="18" fillId="0" borderId="0" xfId="0" applyFont="1" applyFill="1" applyAlignment="1">
      <alignment horizontal="right"/>
    </xf>
    <xf numFmtId="16" fontId="18" fillId="0" borderId="1" xfId="0" quotePrefix="1" applyNumberFormat="1" applyFont="1" applyFill="1" applyBorder="1"/>
    <xf numFmtId="16" fontId="18" fillId="0" borderId="1" xfId="0" applyNumberFormat="1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right"/>
    </xf>
    <xf numFmtId="0" fontId="18" fillId="0" borderId="1" xfId="0" applyFont="1" applyFill="1" applyBorder="1" applyAlignment="1">
      <alignment horizontal="right" indent="1"/>
    </xf>
    <xf numFmtId="0" fontId="0" fillId="0" borderId="0" xfId="0" applyFill="1" applyAlignment="1">
      <alignment horizontal="left" indent="1"/>
    </xf>
    <xf numFmtId="0" fontId="19" fillId="0" borderId="3" xfId="0" quotePrefix="1" applyFont="1" applyFill="1" applyBorder="1" applyAlignment="1">
      <alignment horizontal="center"/>
    </xf>
    <xf numFmtId="0" fontId="19" fillId="0" borderId="0" xfId="0" quotePrefix="1" applyFont="1" applyFill="1" applyAlignment="1">
      <alignment horizontal="right"/>
    </xf>
    <xf numFmtId="167" fontId="18" fillId="0" borderId="0" xfId="0" applyNumberFormat="1" applyFont="1" applyFill="1" applyAlignment="1">
      <alignment horizontal="center"/>
    </xf>
    <xf numFmtId="165" fontId="18" fillId="0" borderId="0" xfId="1" applyNumberFormat="1" applyFont="1" applyFill="1" applyAlignment="1">
      <alignment horizontal="left"/>
    </xf>
    <xf numFmtId="165" fontId="18" fillId="0" borderId="0" xfId="1" applyNumberFormat="1" applyFont="1" applyFill="1" applyAlignment="1">
      <alignment horizontal="center"/>
    </xf>
    <xf numFmtId="3" fontId="18" fillId="0" borderId="0" xfId="1" applyNumberFormat="1" applyFont="1" applyFill="1" applyBorder="1" applyAlignment="1">
      <alignment horizontal="right" indent="1"/>
    </xf>
    <xf numFmtId="164" fontId="18" fillId="0" borderId="0" xfId="1" applyNumberFormat="1" applyFont="1" applyFill="1" applyBorder="1"/>
    <xf numFmtId="164" fontId="18" fillId="0" borderId="0" xfId="1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24" fillId="0" borderId="0" xfId="0" applyFont="1" applyFill="1"/>
    <xf numFmtId="0" fontId="10" fillId="0" borderId="0" xfId="0" applyFont="1" applyFill="1" applyBorder="1"/>
    <xf numFmtId="0" fontId="9" fillId="0" borderId="0" xfId="0" applyFont="1" applyFill="1" applyBorder="1"/>
    <xf numFmtId="169" fontId="18" fillId="0" borderId="0" xfId="1" quotePrefix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center"/>
    </xf>
    <xf numFmtId="164" fontId="18" fillId="0" borderId="0" xfId="1" quotePrefix="1" applyNumberFormat="1" applyFont="1" applyFill="1" applyBorder="1" applyAlignment="1">
      <alignment horizontal="center"/>
    </xf>
    <xf numFmtId="164" fontId="18" fillId="0" borderId="0" xfId="1" quotePrefix="1" applyNumberFormat="1" applyFont="1" applyFill="1" applyAlignment="1">
      <alignment horizontal="center"/>
    </xf>
    <xf numFmtId="169" fontId="18" fillId="0" borderId="0" xfId="1" quotePrefix="1" applyNumberFormat="1" applyFont="1" applyFill="1" applyAlignment="1">
      <alignment horizontal="right"/>
    </xf>
    <xf numFmtId="169" fontId="0" fillId="0" borderId="0" xfId="0" applyNumberFormat="1" applyFill="1"/>
    <xf numFmtId="3" fontId="18" fillId="0" borderId="0" xfId="0" applyNumberFormat="1" applyFont="1" applyFill="1"/>
    <xf numFmtId="0" fontId="10" fillId="0" borderId="1" xfId="0" applyFont="1" applyFill="1" applyBorder="1"/>
    <xf numFmtId="164" fontId="18" fillId="0" borderId="1" xfId="1" applyNumberFormat="1" applyFont="1" applyFill="1" applyBorder="1" applyAlignment="1">
      <alignment horizontal="center"/>
    </xf>
    <xf numFmtId="164" fontId="18" fillId="0" borderId="1" xfId="1" quotePrefix="1" applyNumberFormat="1" applyFont="1" applyFill="1" applyBorder="1" applyAlignment="1">
      <alignment horizontal="center"/>
    </xf>
    <xf numFmtId="169" fontId="18" fillId="0" borderId="1" xfId="1" applyNumberFormat="1" applyFont="1" applyFill="1" applyBorder="1" applyAlignment="1">
      <alignment horizontal="right" indent="1"/>
    </xf>
    <xf numFmtId="169" fontId="18" fillId="0" borderId="1" xfId="1" quotePrefix="1" applyNumberFormat="1" applyFont="1" applyFill="1" applyBorder="1" applyAlignment="1">
      <alignment horizontal="right"/>
    </xf>
    <xf numFmtId="0" fontId="20" fillId="0" borderId="0" xfId="0" applyFont="1" applyFill="1" applyBorder="1"/>
    <xf numFmtId="164" fontId="18" fillId="0" borderId="0" xfId="0" applyNumberFormat="1" applyFont="1" applyFill="1" applyBorder="1"/>
    <xf numFmtId="164" fontId="18" fillId="0" borderId="0" xfId="1" applyNumberFormat="1" applyFont="1" applyFill="1"/>
    <xf numFmtId="14" fontId="18" fillId="0" borderId="0" xfId="0" applyNumberFormat="1" applyFont="1" applyFill="1" applyAlignment="1">
      <alignment horizontal="left"/>
    </xf>
    <xf numFmtId="0" fontId="10" fillId="0" borderId="0" xfId="0" applyFont="1" applyFill="1"/>
    <xf numFmtId="0" fontId="0" fillId="0" borderId="0" xfId="0" applyFill="1" applyProtection="1"/>
    <xf numFmtId="0" fontId="18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3" fontId="18" fillId="0" borderId="0" xfId="1" applyNumberFormat="1" applyFont="1" applyFill="1" applyAlignment="1">
      <alignment horizontal="right" indent="2"/>
    </xf>
    <xf numFmtId="3" fontId="18" fillId="0" borderId="0" xfId="1" applyNumberFormat="1" applyFont="1" applyFill="1" applyAlignment="1">
      <alignment horizontal="right" indent="1"/>
    </xf>
    <xf numFmtId="3" fontId="18" fillId="0" borderId="0" xfId="1" applyNumberFormat="1" applyFont="1" applyFill="1" applyAlignment="1">
      <alignment horizontal="center"/>
    </xf>
    <xf numFmtId="0" fontId="24" fillId="0" borderId="0" xfId="0" applyFont="1" applyFill="1" applyBorder="1"/>
    <xf numFmtId="169" fontId="18" fillId="0" borderId="0" xfId="1" applyNumberFormat="1" applyFont="1" applyFill="1" applyBorder="1" applyAlignment="1">
      <alignment horizontal="right" indent="2"/>
    </xf>
    <xf numFmtId="169" fontId="18" fillId="0" borderId="1" xfId="1" applyNumberFormat="1" applyFont="1" applyFill="1" applyBorder="1" applyAlignment="1">
      <alignment horizontal="right" indent="2"/>
    </xf>
    <xf numFmtId="0" fontId="20" fillId="0" borderId="0" xfId="0" applyFont="1" applyFill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9" fontId="18" fillId="0" borderId="0" xfId="0" applyNumberFormat="1" applyFont="1" applyFill="1" applyBorder="1"/>
    <xf numFmtId="169" fontId="18" fillId="0" borderId="1" xfId="1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/>
    </xf>
    <xf numFmtId="16" fontId="18" fillId="0" borderId="0" xfId="0" applyNumberFormat="1" applyFont="1" applyFill="1" applyBorder="1"/>
    <xf numFmtId="0" fontId="19" fillId="0" borderId="0" xfId="0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right" indent="2"/>
    </xf>
    <xf numFmtId="170" fontId="18" fillId="0" borderId="0" xfId="0" applyNumberFormat="1" applyFont="1" applyFill="1" applyBorder="1"/>
    <xf numFmtId="43" fontId="18" fillId="0" borderId="0" xfId="1" quotePrefix="1" applyNumberFormat="1" applyFont="1" applyFill="1" applyBorder="1" applyAlignment="1">
      <alignment horizontal="center"/>
    </xf>
    <xf numFmtId="166" fontId="18" fillId="0" borderId="0" xfId="1" quotePrefix="1" applyNumberFormat="1" applyFont="1" applyFill="1" applyBorder="1" applyAlignment="1">
      <alignment horizontal="center"/>
    </xf>
    <xf numFmtId="43" fontId="18" fillId="0" borderId="0" xfId="1" quotePrefix="1" applyFont="1" applyFill="1" applyBorder="1" applyAlignment="1">
      <alignment horizontal="center"/>
    </xf>
    <xf numFmtId="43" fontId="18" fillId="0" borderId="0" xfId="1" applyNumberFormat="1" applyFont="1" applyFill="1" applyBorder="1" applyAlignment="1">
      <alignment horizontal="center"/>
    </xf>
    <xf numFmtId="0" fontId="24" fillId="0" borderId="0" xfId="0" quotePrefix="1" applyFont="1" applyFill="1"/>
    <xf numFmtId="43" fontId="18" fillId="0" borderId="0" xfId="1" applyFont="1" applyFill="1" applyBorder="1"/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indent="1"/>
    </xf>
    <xf numFmtId="0" fontId="18" fillId="0" borderId="3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9" fillId="0" borderId="3" xfId="0" quotePrefix="1" applyFont="1" applyFill="1" applyBorder="1" applyAlignment="1"/>
    <xf numFmtId="0" fontId="19" fillId="0" borderId="3" xfId="0" applyFont="1" applyFill="1" applyBorder="1" applyAlignment="1"/>
    <xf numFmtId="43" fontId="18" fillId="0" borderId="0" xfId="1" applyNumberFormat="1" applyFont="1" applyFill="1" applyBorder="1"/>
    <xf numFmtId="0" fontId="9" fillId="0" borderId="0" xfId="0" applyFont="1" applyFill="1"/>
    <xf numFmtId="2" fontId="18" fillId="0" borderId="0" xfId="0" applyNumberFormat="1" applyFont="1" applyFill="1" applyBorder="1" applyAlignment="1">
      <alignment horizontal="center"/>
    </xf>
    <xf numFmtId="43" fontId="18" fillId="0" borderId="0" xfId="0" applyNumberFormat="1" applyFont="1" applyFill="1"/>
    <xf numFmtId="0" fontId="13" fillId="0" borderId="0" xfId="0" applyFont="1" applyFill="1"/>
    <xf numFmtId="2" fontId="0" fillId="0" borderId="0" xfId="0" applyNumberFormat="1" applyFill="1"/>
    <xf numFmtId="165" fontId="18" fillId="0" borderId="0" xfId="1" applyNumberFormat="1" applyFont="1" applyFill="1" applyBorder="1" applyAlignment="1">
      <alignment horizontal="center"/>
    </xf>
    <xf numFmtId="47" fontId="0" fillId="0" borderId="0" xfId="0" applyNumberFormat="1" applyFill="1"/>
    <xf numFmtId="43" fontId="18" fillId="0" borderId="0" xfId="1" applyFont="1" applyFill="1" applyBorder="1" applyAlignment="1">
      <alignment horizontal="center"/>
    </xf>
    <xf numFmtId="0" fontId="18" fillId="0" borderId="0" xfId="0" quotePrefix="1" applyFont="1" applyFill="1" applyBorder="1"/>
    <xf numFmtId="167" fontId="0" fillId="0" borderId="0" xfId="0" applyNumberFormat="1" applyFill="1"/>
    <xf numFmtId="43" fontId="0" fillId="0" borderId="0" xfId="1" applyFont="1" applyFill="1"/>
    <xf numFmtId="43" fontId="9" fillId="0" borderId="0" xfId="1" applyFont="1" applyFill="1"/>
    <xf numFmtId="0" fontId="22" fillId="0" borderId="0" xfId="0" applyFont="1" applyFill="1" applyAlignment="1">
      <alignment vertical="center"/>
    </xf>
    <xf numFmtId="168" fontId="0" fillId="0" borderId="0" xfId="0" applyNumberFormat="1" applyFill="1"/>
    <xf numFmtId="0" fontId="26" fillId="0" borderId="0" xfId="0" applyFont="1" applyFill="1"/>
    <xf numFmtId="168" fontId="18" fillId="0" borderId="0" xfId="0" applyNumberFormat="1" applyFont="1" applyFill="1"/>
    <xf numFmtId="2" fontId="18" fillId="0" borderId="0" xfId="0" applyNumberFormat="1" applyFont="1" applyFill="1"/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0" fillId="0" borderId="0" xfId="0" applyNumberFormat="1" applyFill="1"/>
    <xf numFmtId="0" fontId="18" fillId="0" borderId="3" xfId="0" applyFont="1" applyFill="1" applyBorder="1"/>
    <xf numFmtId="0" fontId="18" fillId="0" borderId="0" xfId="0" applyFont="1" applyFill="1" applyBorder="1" applyAlignment="1">
      <alignment horizontal="right"/>
    </xf>
    <xf numFmtId="37" fontId="18" fillId="0" borderId="0" xfId="1" applyNumberFormat="1" applyFont="1" applyFill="1" applyAlignment="1">
      <alignment horizontal="center"/>
    </xf>
    <xf numFmtId="37" fontId="18" fillId="0" borderId="0" xfId="1" applyNumberFormat="1" applyFont="1" applyFill="1" applyAlignment="1">
      <alignment horizontal="right" indent="2"/>
    </xf>
    <xf numFmtId="165" fontId="18" fillId="0" borderId="0" xfId="1" applyNumberFormat="1" applyFont="1" applyFill="1"/>
    <xf numFmtId="37" fontId="18" fillId="0" borderId="0" xfId="1" applyNumberFormat="1" applyFont="1" applyFill="1" applyAlignment="1">
      <alignment horizontal="right" indent="1"/>
    </xf>
    <xf numFmtId="37" fontId="18" fillId="0" borderId="0" xfId="1" applyNumberFormat="1" applyFont="1" applyFill="1" applyBorder="1" applyAlignment="1">
      <alignment horizontal="center"/>
    </xf>
    <xf numFmtId="37" fontId="18" fillId="0" borderId="0" xfId="1" applyNumberFormat="1" applyFont="1" applyFill="1" applyBorder="1" applyAlignment="1">
      <alignment horizontal="right" indent="2"/>
    </xf>
    <xf numFmtId="165" fontId="18" fillId="0" borderId="0" xfId="1" applyNumberFormat="1" applyFont="1" applyFill="1" applyBorder="1"/>
    <xf numFmtId="37" fontId="18" fillId="0" borderId="0" xfId="1" applyNumberFormat="1" applyFont="1" applyFill="1" applyBorder="1" applyAlignment="1">
      <alignment horizontal="right" indent="1"/>
    </xf>
    <xf numFmtId="37" fontId="18" fillId="0" borderId="1" xfId="1" applyNumberFormat="1" applyFont="1" applyFill="1" applyBorder="1" applyAlignment="1">
      <alignment horizontal="center"/>
    </xf>
    <xf numFmtId="37" fontId="18" fillId="0" borderId="1" xfId="1" applyNumberFormat="1" applyFont="1" applyFill="1" applyBorder="1" applyAlignment="1">
      <alignment horizontal="right" indent="2"/>
    </xf>
    <xf numFmtId="165" fontId="18" fillId="0" borderId="1" xfId="1" applyNumberFormat="1" applyFont="1" applyFill="1" applyBorder="1"/>
    <xf numFmtId="37" fontId="18" fillId="0" borderId="1" xfId="1" applyNumberFormat="1" applyFont="1" applyFill="1" applyBorder="1" applyAlignment="1">
      <alignment horizontal="right" indent="1"/>
    </xf>
    <xf numFmtId="9" fontId="18" fillId="0" borderId="0" xfId="12" applyFont="1" applyFill="1"/>
    <xf numFmtId="1" fontId="18" fillId="0" borderId="0" xfId="0" applyNumberFormat="1" applyFon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left"/>
    </xf>
    <xf numFmtId="0" fontId="19" fillId="0" borderId="4" xfId="0" applyFont="1" applyFill="1" applyBorder="1" applyAlignment="1">
      <alignment horizontal="center"/>
    </xf>
    <xf numFmtId="14" fontId="18" fillId="0" borderId="0" xfId="0" applyNumberFormat="1" applyFont="1" applyFill="1" applyAlignment="1">
      <alignment horizontal="right" inden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vertical="center" wrapText="1"/>
    </xf>
    <xf numFmtId="3" fontId="0" fillId="0" borderId="0" xfId="0" applyNumberFormat="1" applyFill="1"/>
    <xf numFmtId="169" fontId="18" fillId="0" borderId="0" xfId="1" applyNumberFormat="1" applyFont="1" applyFill="1" applyAlignment="1">
      <alignment horizontal="center"/>
    </xf>
    <xf numFmtId="4" fontId="0" fillId="0" borderId="0" xfId="0" applyNumberFormat="1" applyFill="1"/>
    <xf numFmtId="0" fontId="29" fillId="0" borderId="1" xfId="30" applyFont="1" applyBorder="1" applyAlignment="1">
      <alignment horizontal="center"/>
    </xf>
    <xf numFmtId="0" fontId="2" fillId="0" borderId="0" xfId="30"/>
    <xf numFmtId="0" fontId="2" fillId="0" borderId="0" xfId="30" applyNumberFormat="1"/>
    <xf numFmtId="17" fontId="28" fillId="0" borderId="0" xfId="30" applyNumberFormat="1" applyFont="1" applyAlignment="1">
      <alignment horizontal="left"/>
    </xf>
    <xf numFmtId="0" fontId="29" fillId="0" borderId="1" xfId="30" applyNumberFormat="1" applyFont="1" applyBorder="1" applyAlignment="1">
      <alignment horizontal="left"/>
    </xf>
    <xf numFmtId="2" fontId="13" fillId="0" borderId="0" xfId="0" applyNumberFormat="1" applyFont="1" applyFill="1"/>
    <xf numFmtId="171" fontId="18" fillId="0" borderId="0" xfId="1" applyNumberFormat="1" applyFont="1" applyFill="1" applyBorder="1" applyAlignment="1">
      <alignment horizontal="right" indent="1"/>
    </xf>
    <xf numFmtId="0" fontId="29" fillId="0" borderId="1" xfId="29" applyFont="1" applyFill="1" applyBorder="1" applyAlignment="1">
      <alignment horizontal="center" wrapText="1"/>
    </xf>
    <xf numFmtId="0" fontId="28" fillId="0" borderId="0" xfId="29" applyFont="1" applyFill="1"/>
    <xf numFmtId="0" fontId="28" fillId="0" borderId="0" xfId="29" applyFont="1" applyFill="1" applyAlignment="1">
      <alignment horizontal="center"/>
    </xf>
    <xf numFmtId="41" fontId="28" fillId="0" borderId="0" xfId="32" applyNumberFormat="1" applyFont="1" applyFill="1" applyAlignment="1">
      <alignment horizontal="center"/>
    </xf>
    <xf numFmtId="41" fontId="28" fillId="0" borderId="0" xfId="32" applyNumberFormat="1" applyFont="1" applyFill="1"/>
    <xf numFmtId="165" fontId="31" fillId="0" borderId="0" xfId="1" applyNumberFormat="1" applyFont="1" applyFill="1"/>
    <xf numFmtId="0" fontId="9" fillId="0" borderId="0" xfId="0" applyFont="1"/>
    <xf numFmtId="165" fontId="28" fillId="0" borderId="0" xfId="30" applyNumberFormat="1" applyFont="1" applyAlignment="1">
      <alignment horizontal="right"/>
    </xf>
    <xf numFmtId="165" fontId="28" fillId="0" borderId="0" xfId="30" applyNumberFormat="1" applyFont="1"/>
    <xf numFmtId="165" fontId="9" fillId="0" borderId="0" xfId="0" applyNumberFormat="1" applyFont="1"/>
    <xf numFmtId="0" fontId="18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2" xfId="0" quotePrefix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5" xfId="0" quotePrefix="1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</cellXfs>
  <cellStyles count="35">
    <cellStyle name="Comma" xfId="1" builtinId="3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5" xfId="28" xr:uid="{70FA35DD-5A4C-4F46-9C0F-4EF98207937B}"/>
    <cellStyle name="Comma 5 2" xfId="31" xr:uid="{1A54A7D5-5C84-48D6-943B-F788A3F8D756}"/>
    <cellStyle name="Currency" xfId="32" builtinId="4"/>
    <cellStyle name="Currency 2" xfId="34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1" xfId="29" xr:uid="{4B9E3B86-F018-48E8-A1B7-B09DE503DA20}"/>
    <cellStyle name="Normal 11 2" xfId="30" xr:uid="{75FDC25E-C28E-497B-82EF-A28CA2584098}"/>
    <cellStyle name="Normal 11 3" xfId="33" xr:uid="{5440E113-77DF-4DAD-9026-4858CCB03DB9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3" xfId="23" xr:uid="{A94EEB1A-B27E-4B51-9834-B757898F882E}"/>
    <cellStyle name="Normal 9" xfId="25" xr:uid="{AF562AB2-2E7D-4C04-814F-6AC30A92CE3A}"/>
    <cellStyle name="Percent" xfId="12" builtinId="5"/>
  </cellStyles>
  <dxfs count="0"/>
  <tableStyles count="0" defaultTableStyle="TableStyleMedium9" defaultPivotStyle="PivotStyleLight16"/>
  <colors>
    <mruColors>
      <color rgb="FF0000FF"/>
      <color rgb="FFFFCF01"/>
      <color rgb="FF00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/>
              <a:t>2020/21</a:t>
            </a:r>
            <a:r>
              <a:rPr lang="en-US" sz="1050" b="1" baseline="0"/>
              <a:t> soybean meal vs. soybean oil prices</a:t>
            </a:r>
            <a:endParaRPr lang="en-US" sz="1050" b="1"/>
          </a:p>
        </c:rich>
      </c:tx>
      <c:layout>
        <c:manualLayout>
          <c:xMode val="edge"/>
          <c:yMode val="edge"/>
          <c:x val="1.4319901188821985E-2"/>
          <c:y val="6.28930817610062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49423896844803E-2"/>
          <c:y val="0.15076272517217398"/>
          <c:w val="0.79446092392393375"/>
          <c:h val="0.61935891827624112"/>
        </c:manualLayout>
      </c:layout>
      <c:lineChart>
        <c:grouping val="standard"/>
        <c:varyColors val="0"/>
        <c:ser>
          <c:idx val="1"/>
          <c:order val="1"/>
          <c:tx>
            <c:strRef>
              <c:f>Cover!$C$1</c:f>
              <c:strCache>
                <c:ptCount val="1"/>
                <c:pt idx="0">
                  <c:v>Soybean oil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Cover!$A$2:$A$13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</c:v>
                </c:pt>
                <c:pt idx="11">
                  <c:v>Sept</c:v>
                </c:pt>
              </c:strCache>
            </c:strRef>
          </c:cat>
          <c:val>
            <c:numRef>
              <c:f>Cover!$C$2:$C$13</c:f>
              <c:numCache>
                <c:formatCode>_(* #,##0_);_(* \(#,##0\);_(* "-"??_);_(@_)</c:formatCode>
                <c:ptCount val="12"/>
                <c:pt idx="0">
                  <c:v>33.909999999999997</c:v>
                </c:pt>
                <c:pt idx="1">
                  <c:v>37.79</c:v>
                </c:pt>
                <c:pt idx="2">
                  <c:v>40.85</c:v>
                </c:pt>
                <c:pt idx="3">
                  <c:v>44.31</c:v>
                </c:pt>
                <c:pt idx="4">
                  <c:v>48.37</c:v>
                </c:pt>
                <c:pt idx="5">
                  <c:v>56</c:v>
                </c:pt>
                <c:pt idx="6">
                  <c:v>62.88</c:v>
                </c:pt>
                <c:pt idx="7">
                  <c:v>74.75</c:v>
                </c:pt>
                <c:pt idx="8">
                  <c:v>74.75</c:v>
                </c:pt>
                <c:pt idx="9">
                  <c:v>72.930000000000007</c:v>
                </c:pt>
                <c:pt idx="10">
                  <c:v>70.010000000000005</c:v>
                </c:pt>
                <c:pt idx="11">
                  <c:v>65.930000000000007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426-4F20-B890-26E899725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lineChart>
        <c:grouping val="standard"/>
        <c:varyColors val="0"/>
        <c:ser>
          <c:idx val="0"/>
          <c:order val="0"/>
          <c:tx>
            <c:strRef>
              <c:f>Cover!$B$1</c:f>
              <c:strCache>
                <c:ptCount val="1"/>
                <c:pt idx="0">
                  <c:v>Soybean meal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strRef>
              <c:f>Cover!$A$2:$A$13</c:f>
              <c:strCache>
                <c:ptCount val="12"/>
                <c:pt idx="0">
                  <c:v>Oct</c:v>
                </c:pt>
                <c:pt idx="1">
                  <c:v>Nov</c:v>
                </c:pt>
                <c:pt idx="2">
                  <c:v>Dec</c:v>
                </c:pt>
                <c:pt idx="3">
                  <c:v>Jan</c:v>
                </c:pt>
                <c:pt idx="4">
                  <c:v>Feb</c:v>
                </c:pt>
                <c:pt idx="5">
                  <c:v>March</c:v>
                </c:pt>
                <c:pt idx="6">
                  <c:v>April</c:v>
                </c:pt>
                <c:pt idx="7">
                  <c:v>May</c:v>
                </c:pt>
                <c:pt idx="8">
                  <c:v>June</c:v>
                </c:pt>
                <c:pt idx="9">
                  <c:v>July</c:v>
                </c:pt>
                <c:pt idx="10">
                  <c:v>Aug</c:v>
                </c:pt>
                <c:pt idx="11">
                  <c:v>Sept</c:v>
                </c:pt>
              </c:strCache>
            </c:strRef>
          </c:cat>
          <c:val>
            <c:numRef>
              <c:f>Cover!$B$2:$B$13</c:f>
              <c:numCache>
                <c:formatCode>_(* #,##0_);_(* \(#,##0\);_(* "-"??_);_(@_)</c:formatCode>
                <c:ptCount val="12"/>
                <c:pt idx="0">
                  <c:v>367.11</c:v>
                </c:pt>
                <c:pt idx="1">
                  <c:v>387.83</c:v>
                </c:pt>
                <c:pt idx="2">
                  <c:v>396.68</c:v>
                </c:pt>
                <c:pt idx="3">
                  <c:v>439.24</c:v>
                </c:pt>
                <c:pt idx="4">
                  <c:v>427.28</c:v>
                </c:pt>
                <c:pt idx="5">
                  <c:v>410.02</c:v>
                </c:pt>
                <c:pt idx="6">
                  <c:v>413.36</c:v>
                </c:pt>
                <c:pt idx="7">
                  <c:v>421.03</c:v>
                </c:pt>
                <c:pt idx="8">
                  <c:v>378.18</c:v>
                </c:pt>
                <c:pt idx="9">
                  <c:v>365.23</c:v>
                </c:pt>
                <c:pt idx="10">
                  <c:v>358.21</c:v>
                </c:pt>
                <c:pt idx="11">
                  <c:v>343.55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426-4F20-B890-26E899725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50512"/>
        <c:axId val="158435536"/>
      </c:lineChart>
      <c:catAx>
        <c:axId val="66717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Soybean meal price, dollars per short ton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82135991851912382"/>
              <c:y val="4.70612647778002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valAx>
        <c:axId val="158435536"/>
        <c:scaling>
          <c:orientation val="minMax"/>
          <c:min val="3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Soybean</a:t>
                </a:r>
                <a:r>
                  <a:rPr lang="en-US" sz="900" baseline="0"/>
                  <a:t> oil price, cents per pound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6550592362263026E-3"/>
              <c:y val="4.64463176077349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8450512"/>
        <c:crosses val="max"/>
        <c:crossBetween val="between"/>
      </c:valAx>
      <c:catAx>
        <c:axId val="158450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8435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756992048201093"/>
          <c:y val="0.87504402494559974"/>
          <c:w val="0.39176463551376672"/>
          <c:h val="5.6945639642187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baseline="0"/>
              <a:t>Historical U.S. soybean supply and demand</a:t>
            </a:r>
            <a:endParaRPr lang="en-US" sz="1050" b="1"/>
          </a:p>
        </c:rich>
      </c:tx>
      <c:layout>
        <c:manualLayout>
          <c:xMode val="edge"/>
          <c:yMode val="edge"/>
          <c:x val="1.4319901188821985E-2"/>
          <c:y val="6.28930817610062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49430226102837E-2"/>
          <c:y val="0.15432402317634825"/>
          <c:w val="0.79446092392393375"/>
          <c:h val="0.66209404248997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1'!$C$1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cat>
            <c:strRef>
              <c:f>'Figure 1'!$A$2:$A$11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'Figure 1'!$C$2:$C$11</c:f>
              <c:numCache>
                <c:formatCode>_(* #,##0_);_(* \(#,##0\);_(* "-"??_);_(@_)</c:formatCode>
                <c:ptCount val="10"/>
                <c:pt idx="0">
                  <c:v>3042.0439999999999</c:v>
                </c:pt>
                <c:pt idx="1">
                  <c:v>3357.0039999999999</c:v>
                </c:pt>
                <c:pt idx="2">
                  <c:v>3928.07</c:v>
                </c:pt>
                <c:pt idx="3">
                  <c:v>3926.779</c:v>
                </c:pt>
                <c:pt idx="4">
                  <c:v>4296.4960000000001</c:v>
                </c:pt>
                <c:pt idx="5">
                  <c:v>4411.6329999999998</c:v>
                </c:pt>
                <c:pt idx="6">
                  <c:v>4428.1499999999996</c:v>
                </c:pt>
                <c:pt idx="7">
                  <c:v>3551.9079999999999</c:v>
                </c:pt>
                <c:pt idx="8">
                  <c:v>4216.3019999999997</c:v>
                </c:pt>
                <c:pt idx="9">
                  <c:v>4448.0429999999997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20-4FD1-A655-FBCC63F3B49D}"/>
            </c:ext>
          </c:extLst>
        </c:ser>
        <c:ser>
          <c:idx val="1"/>
          <c:order val="1"/>
          <c:tx>
            <c:strRef>
              <c:f>'Figure 1'!$B$1</c:f>
              <c:strCache>
                <c:ptCount val="1"/>
                <c:pt idx="0">
                  <c:v>Beginning stocks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'Figure 1'!$A$2:$A$11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'Figure 1'!$B$2:$B$11</c:f>
              <c:numCache>
                <c:formatCode>_(* #,##0_);_(* \(#,##0\);_(* "-"??_);_(@_)</c:formatCode>
                <c:ptCount val="10"/>
                <c:pt idx="0">
                  <c:v>169.37</c:v>
                </c:pt>
                <c:pt idx="1">
                  <c:v>140.55699999999999</c:v>
                </c:pt>
                <c:pt idx="2">
                  <c:v>91.991</c:v>
                </c:pt>
                <c:pt idx="3">
                  <c:v>190.61</c:v>
                </c:pt>
                <c:pt idx="4">
                  <c:v>196.72900000000001</c:v>
                </c:pt>
                <c:pt idx="5">
                  <c:v>301.59500000000003</c:v>
                </c:pt>
                <c:pt idx="6">
                  <c:v>438.10500000000002</c:v>
                </c:pt>
                <c:pt idx="7">
                  <c:v>909.05200000000002</c:v>
                </c:pt>
                <c:pt idx="8">
                  <c:v>524.54100000000005</c:v>
                </c:pt>
                <c:pt idx="9">
                  <c:v>256.17899999999997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20-4FD1-A655-FBCC63F3B49D}"/>
            </c:ext>
          </c:extLst>
        </c:ser>
        <c:ser>
          <c:idx val="2"/>
          <c:order val="2"/>
          <c:tx>
            <c:strRef>
              <c:f>'Figure 1'!$D$1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'Figure 1'!$A$2:$A$11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'Figure 1'!$D$2:$D$11</c:f>
              <c:numCache>
                <c:formatCode>_(* #,##0_);_(* \(#,##0\);_(* "-"??_);_(@_)</c:formatCode>
                <c:ptCount val="10"/>
                <c:pt idx="0">
                  <c:v>40.516451627971051</c:v>
                </c:pt>
                <c:pt idx="1">
                  <c:v>71.777067089328582</c:v>
                </c:pt>
                <c:pt idx="2">
                  <c:v>33.224684358547258</c:v>
                </c:pt>
                <c:pt idx="3">
                  <c:v>23.540916243907596</c:v>
                </c:pt>
                <c:pt idx="4">
                  <c:v>22.28071721060526</c:v>
                </c:pt>
                <c:pt idx="5">
                  <c:v>21.810500600727529</c:v>
                </c:pt>
                <c:pt idx="6">
                  <c:v>14.057280096340497</c:v>
                </c:pt>
                <c:pt idx="7">
                  <c:v>15.380505615977595</c:v>
                </c:pt>
                <c:pt idx="8">
                  <c:v>19.838285622956896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20-4FD1-A655-FBCC63F3B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lineChart>
        <c:grouping val="standard"/>
        <c:varyColors val="0"/>
        <c:ser>
          <c:idx val="3"/>
          <c:order val="3"/>
          <c:tx>
            <c:strRef>
              <c:f>'Figure 1'!$E$1</c:f>
              <c:strCache>
                <c:ptCount val="1"/>
                <c:pt idx="0">
                  <c:v>Domestic use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1'!$A$2:$A$11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'Figure 1'!$E$2:$E$11</c:f>
              <c:numCache>
                <c:formatCode>_(* #,##0_);_(* \(#,##0\);_(* "-"??_);_(@_)</c:formatCode>
                <c:ptCount val="10"/>
                <c:pt idx="0">
                  <c:v>3111.373451627971</c:v>
                </c:pt>
                <c:pt idx="1">
                  <c:v>3477.3470670893284</c:v>
                </c:pt>
                <c:pt idx="2">
                  <c:v>3862.6756843585472</c:v>
                </c:pt>
                <c:pt idx="3">
                  <c:v>3944.2009162439076</c:v>
                </c:pt>
                <c:pt idx="4">
                  <c:v>4213.9107172106051</c:v>
                </c:pt>
                <c:pt idx="5">
                  <c:v>4296.9335006007277</c:v>
                </c:pt>
                <c:pt idx="6">
                  <c:v>3971.26028009634</c:v>
                </c:pt>
                <c:pt idx="7">
                  <c:v>3951.7995056159775</c:v>
                </c:pt>
                <c:pt idx="8">
                  <c:v>4504.5022856229571</c:v>
                </c:pt>
                <c:pt idx="9">
                  <c:v>4399.2343902778393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220-4FD1-A655-FBCC63F3B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</a:t>
                </a:r>
                <a:r>
                  <a:rPr lang="en-US" sz="900" baseline="0"/>
                  <a:t> year</a:t>
                </a:r>
                <a:endParaRPr lang="en-US" sz="9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  <c:max val="5100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bushels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2515699320464854E-2"/>
              <c:y val="5.41727573803515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78828035688809983"/>
          <c:y val="2.6206992894687415E-4"/>
          <c:w val="0.21171964311190017"/>
          <c:h val="0.22281058861511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50" b="1" baseline="0"/>
              <a:t>U.S. canola production and yield </a:t>
            </a:r>
            <a:endParaRPr lang="en-US" sz="1050" b="1"/>
          </a:p>
        </c:rich>
      </c:tx>
      <c:layout>
        <c:manualLayout>
          <c:xMode val="edge"/>
          <c:yMode val="edge"/>
          <c:x val="1.4319901188821985E-2"/>
          <c:y val="6.289308176100629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549430226102837E-2"/>
          <c:y val="0.15432402317634825"/>
          <c:w val="0.79446092392393375"/>
          <c:h val="0.662094042489971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'Figure 2'!$B$1</c:f>
              <c:strCache>
                <c:ptCount val="1"/>
                <c:pt idx="0">
                  <c:v>Harvested acres</c:v>
                </c:pt>
              </c:strCache>
            </c:strRef>
          </c:tx>
          <c:spPr>
            <a:pattFill prst="dkDnDiag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'Figure 2'!$A$2:$A$11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'Figure 2'!$B$2:$B$11</c:f>
              <c:numCache>
                <c:formatCode>_(* #,##0_);_(* \(#,##0\);_(* "-"??_);_(@_)</c:formatCode>
                <c:ptCount val="10"/>
                <c:pt idx="0">
                  <c:v>1717.9</c:v>
                </c:pt>
                <c:pt idx="1">
                  <c:v>1264.5</c:v>
                </c:pt>
                <c:pt idx="2">
                  <c:v>1556.7</c:v>
                </c:pt>
                <c:pt idx="3">
                  <c:v>1713.5</c:v>
                </c:pt>
                <c:pt idx="4">
                  <c:v>1686.7</c:v>
                </c:pt>
                <c:pt idx="5">
                  <c:v>2002</c:v>
                </c:pt>
                <c:pt idx="6">
                  <c:v>1942.5</c:v>
                </c:pt>
                <c:pt idx="7">
                  <c:v>1909.5</c:v>
                </c:pt>
                <c:pt idx="8">
                  <c:v>1787.8</c:v>
                </c:pt>
                <c:pt idx="9">
                  <c:v>2104.5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9A-4EF9-BCE3-3C28047C6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lineChart>
        <c:grouping val="standard"/>
        <c:varyColors val="0"/>
        <c:ser>
          <c:idx val="1"/>
          <c:order val="0"/>
          <c:tx>
            <c:strRef>
              <c:f>'Figure 2'!$C$1</c:f>
              <c:strCache>
                <c:ptCount val="1"/>
                <c:pt idx="0">
                  <c:v>Yield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'Figure 2'!$A$2:$A$11</c:f>
              <c:strCache>
                <c:ptCount val="10"/>
                <c:pt idx="0">
                  <c:v>2012/13</c:v>
                </c:pt>
                <c:pt idx="1">
                  <c:v>2013/14</c:v>
                </c:pt>
                <c:pt idx="2">
                  <c:v>2014/15</c:v>
                </c:pt>
                <c:pt idx="3">
                  <c:v>2015/16</c:v>
                </c:pt>
                <c:pt idx="4">
                  <c:v>2016/17</c:v>
                </c:pt>
                <c:pt idx="5">
                  <c:v>2017/18</c:v>
                </c:pt>
                <c:pt idx="6">
                  <c:v>2018/19</c:v>
                </c:pt>
                <c:pt idx="7">
                  <c:v>2019/20</c:v>
                </c:pt>
                <c:pt idx="8">
                  <c:v>2020/21</c:v>
                </c:pt>
                <c:pt idx="9">
                  <c:v>2021/22</c:v>
                </c:pt>
              </c:strCache>
            </c:strRef>
          </c:cat>
          <c:val>
            <c:numRef>
              <c:f>'Figure 2'!$C$2:$C$11</c:f>
              <c:numCache>
                <c:formatCode>_(* #,##0_);_(* \(#,##0\);_(* "-"??_);_(@_)</c:formatCode>
                <c:ptCount val="10"/>
                <c:pt idx="0">
                  <c:v>1392.1706734967113</c:v>
                </c:pt>
                <c:pt idx="1">
                  <c:v>1742.2340846184261</c:v>
                </c:pt>
                <c:pt idx="2">
                  <c:v>1610.197854435665</c:v>
                </c:pt>
                <c:pt idx="3">
                  <c:v>1678.7686022760433</c:v>
                </c:pt>
                <c:pt idx="4">
                  <c:v>1825.4520661647</c:v>
                </c:pt>
                <c:pt idx="5">
                  <c:v>1526.1788211788212</c:v>
                </c:pt>
                <c:pt idx="6">
                  <c:v>1861.2303732303733</c:v>
                </c:pt>
                <c:pt idx="7">
                  <c:v>1781.0238282272846</c:v>
                </c:pt>
                <c:pt idx="8">
                  <c:v>1931.4587761494574</c:v>
                </c:pt>
                <c:pt idx="9">
                  <c:v>1118.5934901401756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62-41EC-B3E2-EC7C7B677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874560"/>
        <c:axId val="1617874144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  <c:max val="2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Thousand planted acres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1.2515699320464854E-2"/>
              <c:y val="5.41727573803515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200"/>
      </c:valAx>
      <c:valAx>
        <c:axId val="1617874144"/>
        <c:scaling>
          <c:orientation val="minMax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Pounds per acre</a:t>
                </a:r>
              </a:p>
            </c:rich>
          </c:tx>
          <c:layout>
            <c:manualLayout>
              <c:xMode val="edge"/>
              <c:yMode val="edge"/>
              <c:x val="0.82398433396457238"/>
              <c:y val="5.13473371525567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617874560"/>
        <c:crosses val="max"/>
        <c:crossBetween val="between"/>
      </c:valAx>
      <c:catAx>
        <c:axId val="16178745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17874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5" name="Picture 1" descr="PrintLogo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6" name="Picture 2" descr="PrintLogo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7" name="Picture 3" descr="PrintLogo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8" name="Picture 4" descr="PrintLogo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29" name="Picture 5" descr="PrintLogo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0" name="Picture 6" descr="PrintLogo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1" name="Picture 7" descr="PrintLogo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2" name="Picture 8" descr="PrintLogo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3" name="Picture 9" descr="PrintLogo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4" name="Picture 10" descr="PrintLogo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5" name="Picture 11" descr="PrintLog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6" name="Picture 12" descr="PrintLog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7" name="Picture 13" descr="PrintLog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8" name="Picture 14" descr="PrintLog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39" name="Picture 15" descr="PrintLog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0" name="Picture 16" descr="PrintLog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1" name="Picture 17" descr="PrintLogo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2" name="Picture 18" descr="PrintLogo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3" name="Picture 19" descr="PrintLogo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4" name="Picture 20" descr="PrintLogo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5" name="Picture 21" descr="PrintLogo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6" name="Picture 22" descr="PrintLogo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7" name="Picture 23" descr="PrintLogo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8" name="Picture 24" descr="PrintLogo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49" name="Picture 25" descr="PrintLogo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0" name="Picture 26" descr="PrintLogo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1" name="Picture 27" descr="PrintLog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2" name="Picture 28" descr="PrintLogo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3" name="Picture 29" descr="PrintLogo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4" name="Picture 30" descr="PrintLogo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5" name="Picture 31" descr="PrintLogo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6" name="Picture 32" descr="PrintLogo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7" name="Picture 33" descr="PrintLogo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8" name="Picture 34" descr="PrintLogo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59" name="Picture 35" descr="PrintLogo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0" name="Picture 36" descr="PrintLogo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1" name="Picture 37" descr="PrintLogo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2" name="Picture 38" descr="PrintLogo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3" name="Picture 39" descr="PrintLogo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4" name="Picture 40" descr="PrintLogo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5" name="Picture 41" descr="PrintLogo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0</xdr:col>
      <xdr:colOff>4490085</xdr:colOff>
      <xdr:row>0</xdr:row>
      <xdr:rowOff>514350</xdr:rowOff>
    </xdr:to>
    <xdr:pic>
      <xdr:nvPicPr>
        <xdr:cNvPr id="1266" name="Picture 42" descr="PrintLogo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67" name="Picture 2098" descr="PrintLogo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68" name="Picture 2099" descr="PrintLogo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69" name="Picture 2100" descr="PrintLogo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0" name="Picture 2101" descr="PrintLogo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1" name="Picture 2102" descr="PrintLogo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2" name="Picture 2103" descr="PrintLogo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3" name="Picture 2104" descr="PrintLogo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0</xdr:col>
      <xdr:colOff>4490085</xdr:colOff>
      <xdr:row>1</xdr:row>
      <xdr:rowOff>0</xdr:rowOff>
    </xdr:to>
    <xdr:pic>
      <xdr:nvPicPr>
        <xdr:cNvPr id="1274" name="Picture 2105" descr="PrintLogo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97364</xdr:colOff>
      <xdr:row>0</xdr:row>
      <xdr:rowOff>73024</xdr:rowOff>
    </xdr:from>
    <xdr:to>
      <xdr:col>13</xdr:col>
      <xdr:colOff>105833</xdr:colOff>
      <xdr:row>19</xdr:row>
      <xdr:rowOff>10583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14E9D9-15F9-4687-BA6F-D07839BF2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0.90976</cdr:y>
    </cdr:from>
    <cdr:to>
      <cdr:x>1</cdr:x>
      <cdr:y>0.99702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36075"/>
          <a:ext cx="5935135" cy="310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 USDA, Agricultural Marketing Service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Monthly Feedstuff Prices.</a:t>
          </a:r>
          <a:endParaRPr lang="en-US" sz="900" baseline="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b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0</xdr:row>
      <xdr:rowOff>63500</xdr:rowOff>
    </xdr:from>
    <xdr:to>
      <xdr:col>15</xdr:col>
      <xdr:colOff>489796</xdr:colOff>
      <xdr:row>21</xdr:row>
      <xdr:rowOff>137584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C89D511-50B7-4E33-8BD2-C444B8C42E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0.92604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312583"/>
          <a:ext cx="5919047" cy="2645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World Agricultural Outlook Board,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World Agricultural Supply and Demand Estimates.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39158</xdr:colOff>
      <xdr:row>0</xdr:row>
      <xdr:rowOff>0</xdr:rowOff>
    </xdr:from>
    <xdr:to>
      <xdr:col>13</xdr:col>
      <xdr:colOff>31538</xdr:colOff>
      <xdr:row>21</xdr:row>
      <xdr:rowOff>74084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8ECD55-6236-4F08-AF35-63B070774C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0.9115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60603"/>
          <a:ext cx="5919046" cy="316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Research Service using data from USDA, National Agricultural Statistics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Service</a:t>
          </a:r>
          <a:r>
            <a:rPr lang="en-US" sz="900" b="0" baseline="0">
              <a:latin typeface="Arial" panose="020B0604020202020204" pitchFamily="34" charset="0"/>
              <a:cs typeface="Arial" panose="020B0604020202020204" pitchFamily="34" charset="0"/>
            </a:rPr>
            <a:t>, </a:t>
          </a:r>
          <a:r>
            <a:rPr lang="en-US" sz="900" b="0" i="1" baseline="0">
              <a:latin typeface="Arial" panose="020B0604020202020204" pitchFamily="34" charset="0"/>
              <a:cs typeface="Arial" panose="020B0604020202020204" pitchFamily="34" charset="0"/>
            </a:rPr>
            <a:t>Crop Production</a:t>
          </a:r>
          <a:r>
            <a:rPr lang="en-US" sz="900" b="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8"/>
  <sheetViews>
    <sheetView tabSelected="1" workbookViewId="0">
      <selection activeCell="A2" sqref="A2"/>
    </sheetView>
  </sheetViews>
  <sheetFormatPr defaultColWidth="9.7109375" defaultRowHeight="14.25" x14ac:dyDescent="0.2"/>
  <cols>
    <col min="1" max="1" width="166.85546875" style="19" bestFit="1" customWidth="1"/>
    <col min="2" max="16384" width="9.7109375" style="1"/>
  </cols>
  <sheetData>
    <row r="1" spans="1:3" ht="44.25" customHeight="1" x14ac:dyDescent="0.2">
      <c r="A1" s="13"/>
    </row>
    <row r="2" spans="1:3" ht="15" x14ac:dyDescent="0.25">
      <c r="A2" s="14" t="s">
        <v>89</v>
      </c>
    </row>
    <row r="3" spans="1:3" s="2" customFormat="1" x14ac:dyDescent="0.2">
      <c r="A3" s="15"/>
    </row>
    <row r="4" spans="1:3" ht="15" x14ac:dyDescent="0.25">
      <c r="A4" s="14" t="s">
        <v>90</v>
      </c>
    </row>
    <row r="5" spans="1:3" ht="15" x14ac:dyDescent="0.25">
      <c r="A5" s="16">
        <f ca="1">TODAY()</f>
        <v>44482</v>
      </c>
      <c r="B5" s="3"/>
    </row>
    <row r="6" spans="1:3" s="2" customFormat="1" x14ac:dyDescent="0.2">
      <c r="A6" s="15"/>
      <c r="B6" s="3"/>
      <c r="C6" s="4"/>
    </row>
    <row r="7" spans="1:3" x14ac:dyDescent="0.2">
      <c r="A7" s="17" t="s">
        <v>141</v>
      </c>
      <c r="B7" s="5"/>
      <c r="C7" s="2"/>
    </row>
    <row r="8" spans="1:3" x14ac:dyDescent="0.2">
      <c r="A8" s="17" t="s">
        <v>132</v>
      </c>
      <c r="B8" s="6"/>
    </row>
    <row r="9" spans="1:3" x14ac:dyDescent="0.2">
      <c r="A9" s="17" t="s">
        <v>133</v>
      </c>
      <c r="B9" s="6"/>
    </row>
    <row r="10" spans="1:3" x14ac:dyDescent="0.2">
      <c r="A10" s="17" t="s">
        <v>134</v>
      </c>
      <c r="B10" s="6"/>
    </row>
    <row r="11" spans="1:3" x14ac:dyDescent="0.2">
      <c r="A11" s="17" t="s">
        <v>135</v>
      </c>
      <c r="B11" s="6"/>
    </row>
    <row r="12" spans="1:3" x14ac:dyDescent="0.2">
      <c r="A12" s="17" t="s">
        <v>136</v>
      </c>
      <c r="B12" s="6"/>
    </row>
    <row r="13" spans="1:3" x14ac:dyDescent="0.2">
      <c r="A13" s="17" t="s">
        <v>137</v>
      </c>
      <c r="B13" s="6"/>
    </row>
    <row r="14" spans="1:3" x14ac:dyDescent="0.2">
      <c r="A14" s="17" t="s">
        <v>138</v>
      </c>
      <c r="B14" s="6"/>
    </row>
    <row r="15" spans="1:3" x14ac:dyDescent="0.2">
      <c r="A15" s="17" t="s">
        <v>139</v>
      </c>
      <c r="B15" s="6"/>
    </row>
    <row r="16" spans="1:3" x14ac:dyDescent="0.2">
      <c r="A16" s="17" t="s">
        <v>140</v>
      </c>
      <c r="B16" s="6"/>
    </row>
    <row r="17" spans="1:2" x14ac:dyDescent="0.2">
      <c r="A17" s="18" t="s">
        <v>158</v>
      </c>
      <c r="B17" s="6"/>
    </row>
    <row r="18" spans="1:2" s="11" customFormat="1" ht="22.9" customHeight="1" x14ac:dyDescent="0.2">
      <c r="A18" s="7"/>
    </row>
  </sheetData>
  <hyperlinks>
    <hyperlink ref="A7" location="'Table 1'!A1" display="Table 1--Soybeans:  Annual U.S. supply and disappearance" xr:uid="{00000000-0004-0000-0000-000000000000}"/>
    <hyperlink ref="A8" location="'Table 2'!A1" display="Table 2--Soybean meal:  U.S. supply and disappearance" xr:uid="{00000000-0004-0000-0000-000001000000}"/>
    <hyperlink ref="A9" location="'Table 3'!A1" display="Table 3--Soybean oil:  U.S. supply and disappearance" xr:uid="{00000000-0004-0000-0000-000002000000}"/>
    <hyperlink ref="A10" location="'Tables 4-7'!A1" display="Table 4--Cottonseed:  U.S. supply and disappearance" xr:uid="{00000000-0004-0000-0000-000003000000}"/>
    <hyperlink ref="A11" location="'Tables 4-7'!A1" display="Table 5--Cottonseed meal:  U.S. supply and disappearance" xr:uid="{00000000-0004-0000-0000-000004000000}"/>
    <hyperlink ref="A12" location="'Tables 4-7'!A1" display="Table 6--Cottonseed oil:  U.S. supply and disappearance" xr:uid="{00000000-0004-0000-0000-000005000000}"/>
    <hyperlink ref="A13" location="'Tables 4-7'!A1" display="Table 7--Peanuts:  U.S. supply and disappearance" xr:uid="{00000000-0004-0000-0000-000006000000}"/>
    <hyperlink ref="A14" location="'Table 8'!A1" display="Table 8--Oilseed prices received by U.S. farmers" xr:uid="{00000000-0004-0000-0000-000007000000}"/>
    <hyperlink ref="A15" location="'Table 9'!A1" display="Table 9--U.S. vegetable oil and fats prices" xr:uid="{00000000-0004-0000-0000-000008000000}"/>
    <hyperlink ref="A16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A746D-7AA0-4336-B54C-68FB16ED45FB}">
  <dimension ref="A1:H11"/>
  <sheetViews>
    <sheetView topLeftCell="B1" zoomScaleNormal="100" workbookViewId="0">
      <selection activeCell="B1" sqref="B1"/>
    </sheetView>
  </sheetViews>
  <sheetFormatPr defaultRowHeight="12.75" x14ac:dyDescent="0.2"/>
  <cols>
    <col min="1" max="2" width="10.42578125" style="161" customWidth="1"/>
    <col min="3" max="3" width="10.85546875" style="161" customWidth="1"/>
    <col min="4" max="4" width="8.140625" style="161" bestFit="1" customWidth="1"/>
    <col min="5" max="5" width="10.28515625" style="161" customWidth="1"/>
    <col min="6" max="16384" width="9.140625" style="161"/>
  </cols>
  <sheetData>
    <row r="1" spans="1:8" ht="25.5" x14ac:dyDescent="0.2">
      <c r="A1" s="155" t="s">
        <v>164</v>
      </c>
      <c r="B1" s="155" t="s">
        <v>180</v>
      </c>
      <c r="C1" s="155" t="s">
        <v>1</v>
      </c>
      <c r="D1" s="155" t="s">
        <v>2</v>
      </c>
      <c r="E1" s="155" t="s">
        <v>181</v>
      </c>
      <c r="F1" s="155" t="s">
        <v>182</v>
      </c>
    </row>
    <row r="2" spans="1:8" x14ac:dyDescent="0.2">
      <c r="A2" s="157" t="s">
        <v>66</v>
      </c>
      <c r="B2" s="160">
        <v>169.37</v>
      </c>
      <c r="C2" s="160">
        <v>3042.0439999999999</v>
      </c>
      <c r="D2" s="160">
        <v>40.516451627971051</v>
      </c>
      <c r="E2" s="160">
        <v>3111.373451627971</v>
      </c>
      <c r="F2" s="160">
        <v>140.55699999999999</v>
      </c>
      <c r="G2" s="164"/>
      <c r="H2" s="164"/>
    </row>
    <row r="3" spans="1:8" x14ac:dyDescent="0.2">
      <c r="A3" s="157" t="s">
        <v>72</v>
      </c>
      <c r="B3" s="160">
        <v>140.55699999999999</v>
      </c>
      <c r="C3" s="160">
        <v>3357.0039999999999</v>
      </c>
      <c r="D3" s="160">
        <v>71.777067089328582</v>
      </c>
      <c r="E3" s="160">
        <v>3477.3470670893284</v>
      </c>
      <c r="F3" s="160">
        <v>91.991</v>
      </c>
      <c r="G3" s="164"/>
      <c r="H3" s="164"/>
    </row>
    <row r="4" spans="1:8" x14ac:dyDescent="0.2">
      <c r="A4" s="157" t="s">
        <v>74</v>
      </c>
      <c r="B4" s="160">
        <v>91.991</v>
      </c>
      <c r="C4" s="160">
        <v>3928.07</v>
      </c>
      <c r="D4" s="160">
        <v>33.224684358547258</v>
      </c>
      <c r="E4" s="160">
        <v>3862.6756843585472</v>
      </c>
      <c r="F4" s="160">
        <v>190.61</v>
      </c>
      <c r="G4" s="164"/>
      <c r="H4" s="164"/>
    </row>
    <row r="5" spans="1:8" x14ac:dyDescent="0.2">
      <c r="A5" s="157" t="s">
        <v>75</v>
      </c>
      <c r="B5" s="160">
        <v>190.61</v>
      </c>
      <c r="C5" s="160">
        <v>3926.779</v>
      </c>
      <c r="D5" s="160">
        <v>23.540916243907596</v>
      </c>
      <c r="E5" s="160">
        <v>3944.2009162439076</v>
      </c>
      <c r="F5" s="160">
        <v>196.72900000000001</v>
      </c>
      <c r="G5" s="164"/>
      <c r="H5" s="164"/>
    </row>
    <row r="6" spans="1:8" x14ac:dyDescent="0.2">
      <c r="A6" s="157" t="s">
        <v>87</v>
      </c>
      <c r="B6" s="160">
        <v>196.72900000000001</v>
      </c>
      <c r="C6" s="160">
        <v>4296.4960000000001</v>
      </c>
      <c r="D6" s="160">
        <v>22.28071721060526</v>
      </c>
      <c r="E6" s="160">
        <v>4213.9107172106051</v>
      </c>
      <c r="F6" s="160">
        <v>301.59500000000003</v>
      </c>
      <c r="G6" s="164"/>
      <c r="H6" s="164"/>
    </row>
    <row r="7" spans="1:8" x14ac:dyDescent="0.2">
      <c r="A7" s="157" t="s">
        <v>88</v>
      </c>
      <c r="B7" s="160">
        <v>301.59500000000003</v>
      </c>
      <c r="C7" s="160">
        <v>4411.6329999999998</v>
      </c>
      <c r="D7" s="160">
        <v>21.810500600727529</v>
      </c>
      <c r="E7" s="160">
        <v>4296.9335006007277</v>
      </c>
      <c r="F7" s="160">
        <v>438.10500000000002</v>
      </c>
      <c r="G7" s="164"/>
      <c r="H7" s="164"/>
    </row>
    <row r="8" spans="1:8" x14ac:dyDescent="0.2">
      <c r="A8" s="157" t="s">
        <v>112</v>
      </c>
      <c r="B8" s="160">
        <v>438.10500000000002</v>
      </c>
      <c r="C8" s="160">
        <v>4428.1499999999996</v>
      </c>
      <c r="D8" s="160">
        <v>14.057280096340497</v>
      </c>
      <c r="E8" s="160">
        <v>3971.26028009634</v>
      </c>
      <c r="F8" s="160">
        <v>909.05200000000002</v>
      </c>
      <c r="G8" s="164"/>
      <c r="H8" s="164"/>
    </row>
    <row r="9" spans="1:8" x14ac:dyDescent="0.2">
      <c r="A9" s="157" t="s">
        <v>114</v>
      </c>
      <c r="B9" s="160">
        <v>909.05200000000002</v>
      </c>
      <c r="C9" s="160">
        <v>3551.9079999999999</v>
      </c>
      <c r="D9" s="160">
        <v>15.380505615977595</v>
      </c>
      <c r="E9" s="160">
        <v>3951.7995056159775</v>
      </c>
      <c r="F9" s="160">
        <v>524.54100000000005</v>
      </c>
      <c r="G9" s="164"/>
      <c r="H9" s="164"/>
    </row>
    <row r="10" spans="1:8" x14ac:dyDescent="0.2">
      <c r="A10" s="157" t="s">
        <v>122</v>
      </c>
      <c r="B10" s="160">
        <v>524.54100000000005</v>
      </c>
      <c r="C10" s="160">
        <v>4216.3019999999997</v>
      </c>
      <c r="D10" s="160">
        <v>19.838285622956896</v>
      </c>
      <c r="E10" s="160">
        <v>4504.5022856229571</v>
      </c>
      <c r="F10" s="160">
        <v>256.17899999999997</v>
      </c>
      <c r="G10" s="164"/>
      <c r="H10" s="164"/>
    </row>
    <row r="11" spans="1:8" x14ac:dyDescent="0.2">
      <c r="A11" s="157" t="s">
        <v>163</v>
      </c>
      <c r="B11" s="160">
        <v>256.17899999999997</v>
      </c>
      <c r="C11" s="160">
        <v>4448.0429999999997</v>
      </c>
      <c r="D11" s="160">
        <v>15</v>
      </c>
      <c r="E11" s="160">
        <v>4399.2343902778393</v>
      </c>
      <c r="F11" s="160">
        <v>319.98760972216041</v>
      </c>
      <c r="G11" s="164"/>
      <c r="H11" s="16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EE89B-BBBD-459A-8FEA-58F14F1A810B}">
  <dimension ref="A1:C48"/>
  <sheetViews>
    <sheetView zoomScaleNormal="100" workbookViewId="0"/>
  </sheetViews>
  <sheetFormatPr defaultColWidth="8.85546875" defaultRowHeight="12.75" x14ac:dyDescent="0.2"/>
  <cols>
    <col min="1" max="1" width="10.42578125" style="156" customWidth="1"/>
    <col min="2" max="2" width="10.28515625" style="156" bestFit="1" customWidth="1"/>
    <col min="3" max="3" width="7.28515625" style="156" bestFit="1" customWidth="1"/>
    <col min="4" max="16384" width="8.85546875" style="156"/>
  </cols>
  <sheetData>
    <row r="1" spans="1:3" ht="25.5" x14ac:dyDescent="0.2">
      <c r="A1" s="155" t="s">
        <v>164</v>
      </c>
      <c r="B1" s="155" t="s">
        <v>162</v>
      </c>
      <c r="C1" s="155" t="s">
        <v>22</v>
      </c>
    </row>
    <row r="2" spans="1:3" x14ac:dyDescent="0.2">
      <c r="A2" s="157" t="s">
        <v>66</v>
      </c>
      <c r="B2" s="160">
        <v>1717.9</v>
      </c>
      <c r="C2" s="160">
        <v>1392.1706734967113</v>
      </c>
    </row>
    <row r="3" spans="1:3" x14ac:dyDescent="0.2">
      <c r="A3" s="157" t="s">
        <v>72</v>
      </c>
      <c r="B3" s="160">
        <v>1264.5</v>
      </c>
      <c r="C3" s="160">
        <v>1742.2340846184261</v>
      </c>
    </row>
    <row r="4" spans="1:3" x14ac:dyDescent="0.2">
      <c r="A4" s="157" t="s">
        <v>74</v>
      </c>
      <c r="B4" s="160">
        <v>1556.7</v>
      </c>
      <c r="C4" s="160">
        <v>1610.197854435665</v>
      </c>
    </row>
    <row r="5" spans="1:3" x14ac:dyDescent="0.2">
      <c r="A5" s="157" t="s">
        <v>75</v>
      </c>
      <c r="B5" s="160">
        <v>1713.5</v>
      </c>
      <c r="C5" s="160">
        <v>1678.7686022760433</v>
      </c>
    </row>
    <row r="6" spans="1:3" x14ac:dyDescent="0.2">
      <c r="A6" s="157" t="s">
        <v>87</v>
      </c>
      <c r="B6" s="160">
        <v>1686.7</v>
      </c>
      <c r="C6" s="160">
        <v>1825.4520661647</v>
      </c>
    </row>
    <row r="7" spans="1:3" x14ac:dyDescent="0.2">
      <c r="A7" s="157" t="s">
        <v>88</v>
      </c>
      <c r="B7" s="160">
        <v>2002</v>
      </c>
      <c r="C7" s="160">
        <v>1526.1788211788212</v>
      </c>
    </row>
    <row r="8" spans="1:3" x14ac:dyDescent="0.2">
      <c r="A8" s="157" t="s">
        <v>112</v>
      </c>
      <c r="B8" s="160">
        <v>1942.5</v>
      </c>
      <c r="C8" s="160">
        <v>1861.2303732303733</v>
      </c>
    </row>
    <row r="9" spans="1:3" x14ac:dyDescent="0.2">
      <c r="A9" s="157" t="s">
        <v>114</v>
      </c>
      <c r="B9" s="160">
        <v>1909.5</v>
      </c>
      <c r="C9" s="160">
        <v>1781.0238282272846</v>
      </c>
    </row>
    <row r="10" spans="1:3" x14ac:dyDescent="0.2">
      <c r="A10" s="157" t="s">
        <v>122</v>
      </c>
      <c r="B10" s="160">
        <v>1787.8</v>
      </c>
      <c r="C10" s="160">
        <v>1931.4587761494574</v>
      </c>
    </row>
    <row r="11" spans="1:3" x14ac:dyDescent="0.2">
      <c r="A11" s="157" t="s">
        <v>163</v>
      </c>
      <c r="B11" s="160">
        <v>2104.5</v>
      </c>
      <c r="C11" s="160">
        <v>1118.5934901401756</v>
      </c>
    </row>
    <row r="12" spans="1:3" x14ac:dyDescent="0.2">
      <c r="B12" s="159"/>
      <c r="C12" s="158"/>
    </row>
    <row r="13" spans="1:3" x14ac:dyDescent="0.2">
      <c r="B13" s="159"/>
      <c r="C13" s="158"/>
    </row>
    <row r="14" spans="1:3" x14ac:dyDescent="0.2">
      <c r="B14" s="159"/>
      <c r="C14" s="158"/>
    </row>
    <row r="15" spans="1:3" x14ac:dyDescent="0.2">
      <c r="B15" s="159"/>
      <c r="C15" s="158"/>
    </row>
    <row r="16" spans="1:3" x14ac:dyDescent="0.2">
      <c r="B16" s="159"/>
      <c r="C16" s="158"/>
    </row>
    <row r="17" spans="2:3" x14ac:dyDescent="0.2">
      <c r="B17" s="159"/>
      <c r="C17" s="158"/>
    </row>
    <row r="18" spans="2:3" x14ac:dyDescent="0.2">
      <c r="B18" s="159"/>
      <c r="C18" s="158"/>
    </row>
    <row r="19" spans="2:3" x14ac:dyDescent="0.2">
      <c r="B19" s="159"/>
      <c r="C19" s="158"/>
    </row>
    <row r="20" spans="2:3" x14ac:dyDescent="0.2">
      <c r="B20" s="159"/>
      <c r="C20" s="158"/>
    </row>
    <row r="21" spans="2:3" x14ac:dyDescent="0.2">
      <c r="B21" s="159"/>
      <c r="C21" s="159"/>
    </row>
    <row r="22" spans="2:3" x14ac:dyDescent="0.2">
      <c r="B22" s="159"/>
      <c r="C22" s="159"/>
    </row>
    <row r="23" spans="2:3" x14ac:dyDescent="0.2">
      <c r="B23" s="159"/>
      <c r="C23" s="159"/>
    </row>
    <row r="24" spans="2:3" x14ac:dyDescent="0.2">
      <c r="B24" s="159"/>
      <c r="C24" s="159"/>
    </row>
    <row r="25" spans="2:3" x14ac:dyDescent="0.2">
      <c r="B25" s="159"/>
      <c r="C25" s="159"/>
    </row>
    <row r="26" spans="2:3" x14ac:dyDescent="0.2">
      <c r="B26" s="159"/>
      <c r="C26" s="159"/>
    </row>
    <row r="27" spans="2:3" x14ac:dyDescent="0.2">
      <c r="B27" s="159"/>
      <c r="C27" s="159"/>
    </row>
    <row r="28" spans="2:3" x14ac:dyDescent="0.2">
      <c r="B28" s="159"/>
      <c r="C28" s="159"/>
    </row>
    <row r="29" spans="2:3" x14ac:dyDescent="0.2">
      <c r="B29" s="159"/>
      <c r="C29" s="159"/>
    </row>
    <row r="30" spans="2:3" x14ac:dyDescent="0.2">
      <c r="B30" s="159"/>
      <c r="C30" s="159"/>
    </row>
    <row r="31" spans="2:3" x14ac:dyDescent="0.2">
      <c r="B31" s="159"/>
      <c r="C31" s="159"/>
    </row>
    <row r="32" spans="2:3" x14ac:dyDescent="0.2">
      <c r="B32" s="159"/>
      <c r="C32" s="159"/>
    </row>
    <row r="33" spans="2:3" x14ac:dyDescent="0.2">
      <c r="B33" s="159"/>
      <c r="C33" s="159"/>
    </row>
    <row r="34" spans="2:3" x14ac:dyDescent="0.2">
      <c r="B34" s="159"/>
      <c r="C34" s="159"/>
    </row>
    <row r="35" spans="2:3" x14ac:dyDescent="0.2">
      <c r="B35" s="159"/>
      <c r="C35" s="159"/>
    </row>
    <row r="36" spans="2:3" x14ac:dyDescent="0.2">
      <c r="B36" s="159"/>
      <c r="C36" s="159"/>
    </row>
    <row r="37" spans="2:3" x14ac:dyDescent="0.2">
      <c r="B37" s="159"/>
      <c r="C37" s="159"/>
    </row>
    <row r="38" spans="2:3" x14ac:dyDescent="0.2">
      <c r="B38" s="159"/>
      <c r="C38" s="159"/>
    </row>
    <row r="39" spans="2:3" x14ac:dyDescent="0.2">
      <c r="B39" s="159"/>
      <c r="C39" s="159"/>
    </row>
    <row r="40" spans="2:3" x14ac:dyDescent="0.2">
      <c r="B40" s="159"/>
      <c r="C40" s="159"/>
    </row>
    <row r="41" spans="2:3" x14ac:dyDescent="0.2">
      <c r="B41" s="159"/>
      <c r="C41" s="159"/>
    </row>
    <row r="42" spans="2:3" x14ac:dyDescent="0.2">
      <c r="B42" s="159"/>
      <c r="C42" s="159"/>
    </row>
    <row r="43" spans="2:3" x14ac:dyDescent="0.2">
      <c r="B43" s="159"/>
      <c r="C43" s="159"/>
    </row>
    <row r="44" spans="2:3" x14ac:dyDescent="0.2">
      <c r="B44" s="159"/>
      <c r="C44" s="159"/>
    </row>
    <row r="45" spans="2:3" x14ac:dyDescent="0.2">
      <c r="B45" s="159"/>
      <c r="C45" s="159"/>
    </row>
    <row r="46" spans="2:3" x14ac:dyDescent="0.2">
      <c r="B46" s="159"/>
      <c r="C46" s="159"/>
    </row>
    <row r="47" spans="2:3" x14ac:dyDescent="0.2">
      <c r="B47" s="159"/>
      <c r="C47" s="159"/>
    </row>
    <row r="48" spans="2:3" x14ac:dyDescent="0.2">
      <c r="B48" s="159"/>
      <c r="C48" s="159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47"/>
  <sheetViews>
    <sheetView showGridLines="0" zoomScaleNormal="100" workbookViewId="0"/>
  </sheetViews>
  <sheetFormatPr defaultRowHeight="12.75" x14ac:dyDescent="0.2"/>
  <cols>
    <col min="1" max="1" width="21.7109375" style="25" customWidth="1"/>
    <col min="2" max="2" width="11.5703125" style="25" customWidth="1"/>
    <col min="3" max="3" width="9.5703125" style="25" customWidth="1"/>
    <col min="4" max="4" width="26.7109375" style="25" customWidth="1"/>
    <col min="5" max="5" width="9.7109375" style="25" customWidth="1"/>
    <col min="6" max="6" width="10.7109375" style="25" customWidth="1"/>
    <col min="7" max="7" width="7.7109375" style="25" customWidth="1"/>
    <col min="8" max="8" width="9.7109375" style="25" customWidth="1"/>
    <col min="9" max="9" width="1.7109375" style="25" customWidth="1"/>
    <col min="10" max="10" width="9.7109375" style="25" customWidth="1"/>
    <col min="11" max="12" width="10.7109375" style="25" customWidth="1"/>
    <col min="13" max="13" width="10.28515625" style="25" customWidth="1"/>
    <col min="14" max="14" width="9.7109375" style="25" customWidth="1"/>
    <col min="15" max="16" width="9.140625" style="25"/>
    <col min="17" max="17" width="15.42578125" style="25" bestFit="1" customWidth="1"/>
    <col min="18" max="18" width="10.140625" style="25" bestFit="1" customWidth="1"/>
    <col min="19" max="16384" width="9.140625" style="25"/>
  </cols>
  <sheetData>
    <row r="1" spans="1:23" ht="14.25" x14ac:dyDescent="0.2">
      <c r="A1" s="24" t="s">
        <v>141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23" ht="14.25" x14ac:dyDescent="0.2">
      <c r="A2" s="26"/>
      <c r="B2" s="27" t="s">
        <v>19</v>
      </c>
      <c r="C2" s="69"/>
      <c r="D2" s="28" t="s">
        <v>22</v>
      </c>
      <c r="E2" s="29"/>
      <c r="F2" s="69" t="s">
        <v>67</v>
      </c>
      <c r="G2" s="69"/>
      <c r="H2" s="69"/>
      <c r="I2" s="30"/>
      <c r="J2" s="29"/>
      <c r="K2" s="69"/>
      <c r="L2" s="31" t="s">
        <v>57</v>
      </c>
      <c r="M2" s="69"/>
      <c r="N2" s="26"/>
    </row>
    <row r="3" spans="1:23" ht="14.25" x14ac:dyDescent="0.2">
      <c r="A3" s="26" t="s">
        <v>61</v>
      </c>
      <c r="B3" s="28" t="s">
        <v>20</v>
      </c>
      <c r="C3" s="26" t="s">
        <v>21</v>
      </c>
      <c r="D3" s="28"/>
      <c r="E3" s="32" t="s">
        <v>8</v>
      </c>
      <c r="F3" s="32"/>
      <c r="G3" s="32"/>
      <c r="H3" s="32"/>
      <c r="I3" s="32"/>
      <c r="J3" s="28" t="s">
        <v>59</v>
      </c>
      <c r="K3" s="32" t="s">
        <v>73</v>
      </c>
      <c r="L3" s="32"/>
      <c r="M3" s="32"/>
      <c r="N3" s="32" t="s">
        <v>6</v>
      </c>
    </row>
    <row r="4" spans="1:23" ht="14.25" x14ac:dyDescent="0.2">
      <c r="A4" s="33" t="s">
        <v>64</v>
      </c>
      <c r="B4" s="34"/>
      <c r="C4" s="34"/>
      <c r="D4" s="34"/>
      <c r="E4" s="35" t="s">
        <v>7</v>
      </c>
      <c r="F4" s="35" t="s">
        <v>1</v>
      </c>
      <c r="G4" s="36" t="s">
        <v>2</v>
      </c>
      <c r="H4" s="37" t="s">
        <v>3</v>
      </c>
      <c r="I4" s="36"/>
      <c r="J4" s="36"/>
      <c r="K4" s="36" t="s">
        <v>174</v>
      </c>
      <c r="L4" s="37" t="s">
        <v>4</v>
      </c>
      <c r="M4" s="35" t="s">
        <v>3</v>
      </c>
      <c r="N4" s="36" t="s">
        <v>7</v>
      </c>
      <c r="W4" s="38"/>
    </row>
    <row r="5" spans="1:23" ht="14.25" x14ac:dyDescent="0.2">
      <c r="A5" s="26"/>
      <c r="B5" s="39" t="s">
        <v>68</v>
      </c>
      <c r="C5" s="70"/>
      <c r="D5" s="40" t="s">
        <v>124</v>
      </c>
      <c r="G5" s="39"/>
      <c r="I5" s="39"/>
      <c r="J5" s="39" t="s">
        <v>113</v>
      </c>
      <c r="K5" s="39"/>
      <c r="L5" s="39"/>
      <c r="M5" s="39"/>
      <c r="N5" s="39"/>
      <c r="W5" s="38"/>
    </row>
    <row r="6" spans="1:23" ht="16.5" customHeight="1" x14ac:dyDescent="0.2">
      <c r="A6" s="26" t="s">
        <v>114</v>
      </c>
      <c r="B6" s="41">
        <v>76.099999999999994</v>
      </c>
      <c r="C6" s="41">
        <v>74.938999999999993</v>
      </c>
      <c r="D6" s="41">
        <f>F6/C6</f>
        <v>47.397323156167019</v>
      </c>
      <c r="E6" s="42">
        <v>909</v>
      </c>
      <c r="F6" s="43">
        <f>F28</f>
        <v>3551.9079999999999</v>
      </c>
      <c r="G6" s="44">
        <f t="shared" ref="G6:M6" si="0">G28</f>
        <v>15.380623192800002</v>
      </c>
      <c r="H6" s="44">
        <f t="shared" si="0"/>
        <v>4476.3406231928002</v>
      </c>
      <c r="I6" s="43">
        <f t="shared" si="0"/>
        <v>0</v>
      </c>
      <c r="J6" s="43">
        <f t="shared" si="0"/>
        <v>2164.571916009776</v>
      </c>
      <c r="K6" s="43">
        <f t="shared" si="0"/>
        <v>107.97710436542383</v>
      </c>
      <c r="L6" s="44">
        <f t="shared" si="0"/>
        <v>1679.2506028176001</v>
      </c>
      <c r="M6" s="44">
        <f t="shared" si="0"/>
        <v>3951.7996231928005</v>
      </c>
      <c r="N6" s="44">
        <f>H6-M6</f>
        <v>524.54099999999971</v>
      </c>
    </row>
    <row r="7" spans="1:23" ht="16.5" customHeight="1" x14ac:dyDescent="0.2">
      <c r="A7" s="26" t="s">
        <v>117</v>
      </c>
      <c r="B7" s="41">
        <v>83.353999999999999</v>
      </c>
      <c r="C7" s="41">
        <v>82.602999999999994</v>
      </c>
      <c r="D7" s="41">
        <f>F7/C7</f>
        <v>51.042964541239421</v>
      </c>
      <c r="E7" s="42">
        <f>N6</f>
        <v>524.54099999999971</v>
      </c>
      <c r="F7" s="43">
        <f>F47</f>
        <v>4216.3019999999997</v>
      </c>
      <c r="G7" s="44">
        <f>G47</f>
        <v>19.838438342399996</v>
      </c>
      <c r="H7" s="44">
        <f>SUM(E7:G7)</f>
        <v>4760.6814383423989</v>
      </c>
      <c r="I7" s="26"/>
      <c r="J7" s="43">
        <f>J47</f>
        <v>2140.6021535309255</v>
      </c>
      <c r="K7" s="43">
        <f>K47</f>
        <v>98.451103312274427</v>
      </c>
      <c r="L7" s="44">
        <f>L47</f>
        <v>2265.4491814991998</v>
      </c>
      <c r="M7" s="44">
        <f>SUM(J7:L7)</f>
        <v>4504.5024383423997</v>
      </c>
      <c r="N7" s="44">
        <f t="shared" ref="N7:N8" si="1">H7-M7</f>
        <v>256.17899999999918</v>
      </c>
    </row>
    <row r="8" spans="1:23" ht="16.5" customHeight="1" x14ac:dyDescent="0.2">
      <c r="A8" s="26" t="s">
        <v>147</v>
      </c>
      <c r="B8" s="41">
        <v>87.234999999999999</v>
      </c>
      <c r="C8" s="41">
        <v>86.436000000000007</v>
      </c>
      <c r="D8" s="41">
        <f>F8/C8</f>
        <v>51.460537276134936</v>
      </c>
      <c r="E8" s="42">
        <f>N7</f>
        <v>256.17899999999918</v>
      </c>
      <c r="F8" s="43">
        <v>4448.0429999999997</v>
      </c>
      <c r="G8" s="44">
        <v>15</v>
      </c>
      <c r="H8" s="44">
        <f>SUM(E8:G8)</f>
        <v>4719.2219999999988</v>
      </c>
      <c r="I8" s="26"/>
      <c r="J8" s="43">
        <v>2190</v>
      </c>
      <c r="K8" s="43">
        <v>118.86381027784</v>
      </c>
      <c r="L8" s="44">
        <v>2090</v>
      </c>
      <c r="M8" s="44">
        <f>SUM(J8:L8)</f>
        <v>4398.8638102778405</v>
      </c>
      <c r="N8" s="44">
        <f t="shared" si="1"/>
        <v>320.35818972215839</v>
      </c>
    </row>
    <row r="9" spans="1:23" ht="16.5" customHeight="1" x14ac:dyDescent="0.2">
      <c r="A9" s="30"/>
      <c r="B9" s="30"/>
      <c r="C9" s="30"/>
      <c r="D9" s="30"/>
      <c r="E9" s="45"/>
      <c r="F9" s="45"/>
      <c r="G9" s="46"/>
      <c r="H9" s="45"/>
      <c r="I9" s="45"/>
      <c r="J9" s="46"/>
      <c r="K9" s="46"/>
      <c r="L9" s="46"/>
      <c r="M9" s="46"/>
      <c r="N9" s="46"/>
    </row>
    <row r="10" spans="1:23" ht="16.5" customHeight="1" x14ac:dyDescent="0.2">
      <c r="A10" s="30" t="s">
        <v>125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47"/>
    </row>
    <row r="11" spans="1:23" ht="16.5" customHeight="1" x14ac:dyDescent="0.25">
      <c r="A11" s="48" t="s">
        <v>114</v>
      </c>
      <c r="B11" s="49"/>
      <c r="C11" s="49"/>
      <c r="D11" s="49"/>
      <c r="E11" s="49"/>
      <c r="F11" s="49"/>
      <c r="G11" s="12"/>
      <c r="H11" s="20"/>
      <c r="I11" s="50"/>
      <c r="J11" s="20"/>
      <c r="K11" s="20"/>
      <c r="L11" s="12"/>
      <c r="M11" s="12"/>
      <c r="N11" s="49"/>
    </row>
    <row r="12" spans="1:23" ht="16.5" customHeight="1" x14ac:dyDescent="0.2">
      <c r="A12" s="30" t="s">
        <v>76</v>
      </c>
      <c r="B12" s="49"/>
      <c r="C12" s="49"/>
      <c r="D12" s="20"/>
      <c r="G12" s="12">
        <f>(31910.9*36.744)/1000000</f>
        <v>1.1725341096000002</v>
      </c>
      <c r="I12" s="49"/>
      <c r="J12" s="20">
        <f>((4870034*0.907185)*36.744)/1000000</f>
        <v>162.33579280939173</v>
      </c>
      <c r="K12" s="51"/>
      <c r="L12" s="12">
        <f>(3912144.9*36.744)/1000000</f>
        <v>143.7478522056</v>
      </c>
      <c r="M12" s="12"/>
      <c r="N12" s="20"/>
    </row>
    <row r="13" spans="1:23" ht="16.5" customHeight="1" x14ac:dyDescent="0.2">
      <c r="A13" s="30" t="s">
        <v>78</v>
      </c>
      <c r="B13" s="49"/>
      <c r="C13" s="49"/>
      <c r="D13" s="20"/>
      <c r="E13" s="52"/>
      <c r="F13" s="53"/>
      <c r="G13" s="12">
        <f>(53275.5*36.744)/1000000</f>
        <v>1.9575549720000001</v>
      </c>
      <c r="H13" s="20"/>
      <c r="I13" s="49"/>
      <c r="J13" s="20">
        <f>((5615616*0.907185)*36.744)/1000000</f>
        <v>187.18872916967425</v>
      </c>
      <c r="K13" s="51"/>
      <c r="L13" s="12">
        <f>(5894089.2*36.744)/1000000</f>
        <v>216.5724135648</v>
      </c>
      <c r="M13" s="12"/>
      <c r="N13" s="20"/>
    </row>
    <row r="14" spans="1:23" ht="16.5" customHeight="1" x14ac:dyDescent="0.2">
      <c r="A14" s="30" t="s">
        <v>80</v>
      </c>
      <c r="B14" s="49"/>
      <c r="C14" s="49"/>
      <c r="D14" s="20"/>
      <c r="E14" s="52"/>
      <c r="F14" s="53"/>
      <c r="G14" s="12">
        <f>(12452.6*36.744)/1000000</f>
        <v>0.45755833439999999</v>
      </c>
      <c r="H14" s="20"/>
      <c r="I14" s="49"/>
      <c r="J14" s="20">
        <f>((5239452*0.907185)*36.744)/1000000</f>
        <v>174.64982673770928</v>
      </c>
      <c r="K14" s="51"/>
      <c r="L14" s="12">
        <f>(6834264.3*36.744)/1000000</f>
        <v>251.11820743919998</v>
      </c>
      <c r="M14" s="12"/>
      <c r="N14" s="20"/>
    </row>
    <row r="15" spans="1:23" ht="16.5" customHeight="1" x14ac:dyDescent="0.2">
      <c r="A15" s="30" t="s">
        <v>175</v>
      </c>
      <c r="B15" s="49"/>
      <c r="C15" s="49"/>
      <c r="D15" s="49"/>
      <c r="E15" s="52">
        <v>909.05200000000002</v>
      </c>
      <c r="F15" s="53">
        <f>3551.908</f>
        <v>3551.9079999999999</v>
      </c>
      <c r="G15" s="12">
        <f>SUM(G12:G14)</f>
        <v>3.5876474160000003</v>
      </c>
      <c r="H15" s="20">
        <f>E15+F15+G15</f>
        <v>4464.5476474160005</v>
      </c>
      <c r="I15" s="49"/>
      <c r="J15" s="20">
        <f>SUM(J12:J14)</f>
        <v>524.17434871677528</v>
      </c>
      <c r="K15" s="51">
        <f>M15-L15-J15</f>
        <v>76.446825489625326</v>
      </c>
      <c r="L15" s="12">
        <f>SUM(L12:L14)</f>
        <v>611.43847320960003</v>
      </c>
      <c r="M15" s="12">
        <f>H15-N15</f>
        <v>1212.0596474160006</v>
      </c>
      <c r="N15" s="20">
        <v>3252.4879999999998</v>
      </c>
    </row>
    <row r="16" spans="1:23" ht="16.5" customHeight="1" x14ac:dyDescent="0.2">
      <c r="A16" s="26" t="s">
        <v>81</v>
      </c>
      <c r="B16" s="49"/>
      <c r="C16" s="49"/>
      <c r="D16" s="20"/>
      <c r="E16" s="52"/>
      <c r="F16" s="12"/>
      <c r="G16" s="12">
        <f>(37814.7*36.744)/1000000</f>
        <v>1.3894633368</v>
      </c>
      <c r="H16" s="20"/>
      <c r="I16" s="49"/>
      <c r="J16" s="20">
        <f>((5542274*0.907185)*36.744)/1000000</f>
        <v>184.74397586482533</v>
      </c>
      <c r="K16" s="51"/>
      <c r="L16" s="12">
        <f>(5669989.1*36.744)/1000000</f>
        <v>208.33807949039999</v>
      </c>
      <c r="M16" s="12"/>
      <c r="N16" s="20"/>
    </row>
    <row r="17" spans="1:14" ht="16.5" customHeight="1" x14ac:dyDescent="0.2">
      <c r="A17" s="26" t="s">
        <v>82</v>
      </c>
      <c r="B17" s="49"/>
      <c r="C17" s="49"/>
      <c r="D17" s="20"/>
      <c r="E17" s="52"/>
      <c r="F17" s="53"/>
      <c r="G17" s="12">
        <f>(31076.1*36.744)/1000000</f>
        <v>1.1418602184</v>
      </c>
      <c r="H17" s="20"/>
      <c r="I17" s="49"/>
      <c r="J17" s="20">
        <f>((5663403*0.907185)*36.744)/1000000</f>
        <v>188.78164218239291</v>
      </c>
      <c r="K17" s="51"/>
      <c r="L17" s="12">
        <f>(5182193.7*36.744)/1000000</f>
        <v>190.41452531280001</v>
      </c>
      <c r="M17" s="12"/>
      <c r="N17" s="20"/>
    </row>
    <row r="18" spans="1:14" ht="16.5" customHeight="1" x14ac:dyDescent="0.2">
      <c r="A18" s="26" t="s">
        <v>83</v>
      </c>
      <c r="B18" s="49"/>
      <c r="C18" s="49"/>
      <c r="D18" s="20"/>
      <c r="E18" s="52"/>
      <c r="F18" s="53"/>
      <c r="G18" s="12">
        <f>(41346.4*36.744)/1000000</f>
        <v>1.5192321216</v>
      </c>
      <c r="H18" s="20"/>
      <c r="I18" s="49"/>
      <c r="J18" s="20">
        <f>((5258777*0.907185)*36.744)/1000000</f>
        <v>175.29399866670227</v>
      </c>
      <c r="K18" s="51"/>
      <c r="L18" s="12">
        <f>(2930661.8*36.744)/1000000</f>
        <v>107.6842371792</v>
      </c>
      <c r="M18" s="49"/>
      <c r="N18" s="49"/>
    </row>
    <row r="19" spans="1:14" ht="16.5" customHeight="1" x14ac:dyDescent="0.2">
      <c r="A19" s="26" t="s">
        <v>176</v>
      </c>
      <c r="B19" s="49"/>
      <c r="C19" s="49"/>
      <c r="D19" s="49"/>
      <c r="E19" s="52">
        <f>N15</f>
        <v>3252.4879999999998</v>
      </c>
      <c r="F19" s="53"/>
      <c r="G19" s="12">
        <f>SUM(G16:G18)</f>
        <v>4.0505556768000002</v>
      </c>
      <c r="H19" s="20">
        <f>E19+F19+G19</f>
        <v>3256.5385556767997</v>
      </c>
      <c r="I19" s="49"/>
      <c r="J19" s="20">
        <f>SUM(J16:J18)</f>
        <v>548.81961671392048</v>
      </c>
      <c r="K19" s="51">
        <f>M19-L19-J19</f>
        <v>-53.599903019520923</v>
      </c>
      <c r="L19" s="12">
        <f>SUM(L16:L18)</f>
        <v>506.43684198240004</v>
      </c>
      <c r="M19" s="12">
        <f>H19-N19</f>
        <v>1001.6565556767996</v>
      </c>
      <c r="N19" s="20">
        <v>2254.8820000000001</v>
      </c>
    </row>
    <row r="20" spans="1:14" ht="16.5" customHeight="1" x14ac:dyDescent="0.2">
      <c r="A20" s="26" t="s">
        <v>84</v>
      </c>
      <c r="B20" s="49"/>
      <c r="C20" s="49"/>
      <c r="D20" s="20"/>
      <c r="E20" s="52"/>
      <c r="F20" s="53"/>
      <c r="G20" s="12">
        <f>(42451.2*36.744)/1000000</f>
        <v>1.5598268927999999</v>
      </c>
      <c r="H20" s="20"/>
      <c r="I20" s="49"/>
      <c r="J20" s="20">
        <f>((5764867*0.907185)*36.744)/1000000</f>
        <v>192.16380314504988</v>
      </c>
      <c r="K20" s="51"/>
      <c r="L20" s="12">
        <f>(2475267.9*36.744)/1000000</f>
        <v>90.951243717600008</v>
      </c>
      <c r="M20" s="12"/>
      <c r="N20" s="20"/>
    </row>
    <row r="21" spans="1:14" ht="16.5" customHeight="1" x14ac:dyDescent="0.2">
      <c r="A21" s="26" t="s">
        <v>85</v>
      </c>
      <c r="B21" s="49"/>
      <c r="C21" s="49"/>
      <c r="D21" s="20"/>
      <c r="E21" s="52"/>
      <c r="F21" s="53"/>
      <c r="G21" s="12">
        <f>(25462.9*36.744)/1000000</f>
        <v>0.93560879760000004</v>
      </c>
      <c r="H21" s="20"/>
      <c r="I21" s="49"/>
      <c r="J21" s="20">
        <f>((5501825*0.907185)*36.744)/1000000</f>
        <v>183.395664850293</v>
      </c>
      <c r="K21" s="51"/>
      <c r="L21" s="12">
        <f>(2222224.3*36.744)/1000000</f>
        <v>81.653409679199996</v>
      </c>
      <c r="M21" s="12"/>
      <c r="N21" s="20"/>
    </row>
    <row r="22" spans="1:14" ht="16.5" customHeight="1" x14ac:dyDescent="0.2">
      <c r="A22" s="26" t="s">
        <v>86</v>
      </c>
      <c r="B22" s="49"/>
      <c r="C22" s="49"/>
      <c r="D22" s="20"/>
      <c r="E22" s="52"/>
      <c r="F22" s="53"/>
      <c r="G22" s="12">
        <f>(30880.8*36.744)/1000000</f>
        <v>1.1346841151999998</v>
      </c>
      <c r="H22" s="20"/>
      <c r="I22" s="49"/>
      <c r="J22" s="20">
        <f>((5386534*0.907185)*36.744)/1000000</f>
        <v>179.55260012245176</v>
      </c>
      <c r="K22" s="51"/>
      <c r="L22" s="12">
        <f>(1919708.1*36.744)/1000000</f>
        <v>70.537754426399999</v>
      </c>
      <c r="M22" s="12"/>
      <c r="N22" s="20"/>
    </row>
    <row r="23" spans="1:14" ht="16.5" customHeight="1" x14ac:dyDescent="0.2">
      <c r="A23" s="26" t="s">
        <v>177</v>
      </c>
      <c r="B23" s="30"/>
      <c r="C23" s="30"/>
      <c r="D23" s="49"/>
      <c r="E23" s="52">
        <f>N19</f>
        <v>2254.8820000000001</v>
      </c>
      <c r="F23" s="54"/>
      <c r="G23" s="12">
        <f>SUM(G20:G22)</f>
        <v>3.6301198055999997</v>
      </c>
      <c r="H23" s="20">
        <f>E23+F23+G23</f>
        <v>2258.5121198055999</v>
      </c>
      <c r="I23" s="20"/>
      <c r="J23" s="20">
        <f>SUM(J20:J22)</f>
        <v>555.11206811779459</v>
      </c>
      <c r="K23" s="55">
        <f>M23-L23-J23</f>
        <v>78.863643864605251</v>
      </c>
      <c r="L23" s="12">
        <f>SUM(L20:L22)</f>
        <v>243.14240782320002</v>
      </c>
      <c r="M23" s="12">
        <f>H23-N23</f>
        <v>877.11811980559992</v>
      </c>
      <c r="N23" s="20">
        <v>1381.394</v>
      </c>
    </row>
    <row r="24" spans="1:14" ht="16.5" customHeight="1" x14ac:dyDescent="0.2">
      <c r="A24" s="26" t="s">
        <v>119</v>
      </c>
      <c r="B24" s="30"/>
      <c r="C24" s="30"/>
      <c r="D24" s="20"/>
      <c r="E24" s="52"/>
      <c r="F24" s="54"/>
      <c r="G24" s="12">
        <f>(44941.8*36.744)/1000000</f>
        <v>1.6513414992000002</v>
      </c>
      <c r="H24" s="20"/>
      <c r="I24" s="20"/>
      <c r="J24" s="20">
        <f>((5318419*0.907185)*36.744)/1000000</f>
        <v>177.28208157428318</v>
      </c>
      <c r="K24" s="55"/>
      <c r="L24" s="12">
        <f>(1779978.9*36.744)/1000000</f>
        <v>65.403544701599998</v>
      </c>
      <c r="M24" s="12"/>
      <c r="N24" s="20"/>
    </row>
    <row r="25" spans="1:14" ht="16.5" customHeight="1" x14ac:dyDescent="0.2">
      <c r="A25" s="26" t="s">
        <v>120</v>
      </c>
      <c r="B25" s="30"/>
      <c r="C25" s="30"/>
      <c r="D25" s="20"/>
      <c r="E25" s="52"/>
      <c r="F25" s="54"/>
      <c r="G25" s="12">
        <f>(47973.5*36.744)/1000000</f>
        <v>1.7627382839999999</v>
      </c>
      <c r="H25" s="20"/>
      <c r="I25" s="20"/>
      <c r="J25" s="20">
        <f>((5535196*0.907185)*36.744)/1000000</f>
        <v>184.50804060410545</v>
      </c>
      <c r="K25" s="55"/>
      <c r="L25" s="12">
        <f>(2245645.1*36.744)/1000000</f>
        <v>82.513983554399999</v>
      </c>
      <c r="M25" s="12"/>
      <c r="N25" s="20"/>
    </row>
    <row r="26" spans="1:14" ht="16.5" customHeight="1" x14ac:dyDescent="0.2">
      <c r="A26" s="26" t="s">
        <v>121</v>
      </c>
      <c r="B26" s="30"/>
      <c r="C26" s="30"/>
      <c r="D26" s="20"/>
      <c r="E26" s="52"/>
      <c r="F26" s="54"/>
      <c r="G26" s="12">
        <f>(19002.3*36.744)/1000000</f>
        <v>0.69822051119999995</v>
      </c>
      <c r="H26" s="20"/>
      <c r="I26" s="20"/>
      <c r="J26" s="20">
        <f>((5240230*0.907185)*36.744)/1000000</f>
        <v>174.67576028289722</v>
      </c>
      <c r="K26" s="55"/>
      <c r="L26" s="12">
        <f>(4635188.1*36.744)/1000000</f>
        <v>170.31535154639997</v>
      </c>
      <c r="M26" s="12"/>
      <c r="N26" s="20"/>
    </row>
    <row r="27" spans="1:14" ht="16.5" customHeight="1" x14ac:dyDescent="0.2">
      <c r="A27" s="26" t="s">
        <v>178</v>
      </c>
      <c r="B27" s="30"/>
      <c r="C27" s="30"/>
      <c r="D27" s="49"/>
      <c r="E27" s="52">
        <f>N23</f>
        <v>1381.394</v>
      </c>
      <c r="F27" s="54"/>
      <c r="G27" s="12">
        <f>SUM(G24:G26)</f>
        <v>4.1123002943999998</v>
      </c>
      <c r="H27" s="20">
        <f>E27+F27+G27</f>
        <v>1385.5063002944</v>
      </c>
      <c r="I27" s="20"/>
      <c r="J27" s="20">
        <f>SUM(J24:J26)</f>
        <v>536.4658824612859</v>
      </c>
      <c r="K27" s="55">
        <f>M27-L27-J27</f>
        <v>6.2665380307141731</v>
      </c>
      <c r="L27" s="12">
        <f>SUM(L24:L26)</f>
        <v>318.23287980239996</v>
      </c>
      <c r="M27" s="12">
        <f>H27-N27</f>
        <v>860.96530029439998</v>
      </c>
      <c r="N27" s="20">
        <v>524.54100000000005</v>
      </c>
    </row>
    <row r="28" spans="1:14" ht="16.5" customHeight="1" x14ac:dyDescent="0.2">
      <c r="A28" s="26" t="s">
        <v>3</v>
      </c>
      <c r="B28" s="49"/>
      <c r="C28" s="49"/>
      <c r="D28" s="49"/>
      <c r="E28" s="52"/>
      <c r="F28" s="53">
        <f>F15</f>
        <v>3551.9079999999999</v>
      </c>
      <c r="G28" s="12">
        <f>G15+G19+G23+G27</f>
        <v>15.380623192800002</v>
      </c>
      <c r="H28" s="20">
        <f>E15+F28+G28</f>
        <v>4476.3406231928002</v>
      </c>
      <c r="I28" s="49"/>
      <c r="J28" s="20">
        <f>J15+J19+J23+J27</f>
        <v>2164.571916009776</v>
      </c>
      <c r="K28" s="55">
        <f>K15+K19+K23+K27</f>
        <v>107.97710436542383</v>
      </c>
      <c r="L28" s="12">
        <f>L15+L19+L23+L27</f>
        <v>1679.2506028176001</v>
      </c>
      <c r="M28" s="12">
        <f>M15+M19+M23+M27</f>
        <v>3951.7996231928005</v>
      </c>
      <c r="N28" s="20"/>
    </row>
    <row r="29" spans="1:14" ht="16.5" customHeight="1" x14ac:dyDescent="0.2">
      <c r="A29" s="26"/>
      <c r="B29" s="49"/>
      <c r="C29" s="49"/>
      <c r="D29" s="49"/>
      <c r="E29" s="52"/>
      <c r="F29" s="53"/>
      <c r="G29" s="12"/>
      <c r="H29" s="20"/>
      <c r="I29" s="49"/>
      <c r="J29" s="20"/>
      <c r="K29" s="55"/>
      <c r="L29" s="12"/>
      <c r="M29" s="12"/>
      <c r="N29" s="20"/>
    </row>
    <row r="30" spans="1:14" ht="16.5" customHeight="1" x14ac:dyDescent="0.25">
      <c r="A30" s="48" t="s">
        <v>122</v>
      </c>
      <c r="B30" s="49"/>
      <c r="C30" s="49"/>
      <c r="D30" s="49"/>
      <c r="E30" s="52"/>
      <c r="F30" s="53"/>
      <c r="G30" s="12"/>
      <c r="H30" s="20"/>
      <c r="I30" s="49"/>
      <c r="J30" s="20"/>
      <c r="K30" s="55"/>
      <c r="L30" s="12"/>
      <c r="M30" s="12"/>
      <c r="N30" s="20"/>
    </row>
    <row r="31" spans="1:14" ht="16.5" customHeight="1" x14ac:dyDescent="0.2">
      <c r="A31" s="30" t="s">
        <v>58</v>
      </c>
      <c r="B31" s="49"/>
      <c r="C31" s="49"/>
      <c r="D31" s="49"/>
      <c r="E31" s="52"/>
      <c r="F31" s="53"/>
      <c r="G31" s="12">
        <f>(44527.6*36.744)/1000000</f>
        <v>1.6361221343999999</v>
      </c>
      <c r="I31" s="49"/>
      <c r="J31" s="20">
        <f>((5131665*0.907185)*36.744)/1000000</f>
        <v>171.05689738659061</v>
      </c>
      <c r="K31" s="51"/>
      <c r="L31" s="12">
        <f>(7191284.4*36.744)/1000000</f>
        <v>264.23655399360001</v>
      </c>
      <c r="M31" s="12"/>
      <c r="N31" s="20"/>
    </row>
    <row r="32" spans="1:14" ht="16.5" customHeight="1" x14ac:dyDescent="0.2">
      <c r="A32" s="30" t="s">
        <v>45</v>
      </c>
      <c r="B32" s="49"/>
      <c r="C32" s="49"/>
      <c r="D32" s="49"/>
      <c r="E32" s="56"/>
      <c r="F32" s="53"/>
      <c r="G32" s="12">
        <f>(24879.1*36.744)/1000000</f>
        <v>0.91415765039999997</v>
      </c>
      <c r="I32" s="49"/>
      <c r="J32" s="20">
        <f>((5897079*0.907185)*36.744)/1000000</f>
        <v>196.57090581392558</v>
      </c>
      <c r="K32" s="51"/>
      <c r="L32" s="12">
        <f>(11636404.4*36.744)/1000000</f>
        <v>427.56804327359998</v>
      </c>
      <c r="M32" s="12"/>
      <c r="N32" s="20"/>
    </row>
    <row r="33" spans="1:14" ht="16.5" customHeight="1" x14ac:dyDescent="0.2">
      <c r="A33" s="30" t="s">
        <v>46</v>
      </c>
      <c r="B33" s="49"/>
      <c r="C33" s="49"/>
      <c r="D33" s="49"/>
      <c r="E33" s="56"/>
      <c r="F33" s="53"/>
      <c r="G33" s="12">
        <f>(12431.7*36.744)/1000000</f>
        <v>0.4567903848</v>
      </c>
      <c r="I33" s="49"/>
      <c r="J33" s="20">
        <f>((5731207*0.907185)*36.744)/1000000</f>
        <v>191.04179397920748</v>
      </c>
      <c r="K33" s="51"/>
      <c r="L33" s="12">
        <f>(10867331.6*36.744)/1000000</f>
        <v>399.30923231040003</v>
      </c>
      <c r="M33" s="12"/>
      <c r="N33" s="20"/>
    </row>
    <row r="34" spans="1:14" ht="16.5" customHeight="1" x14ac:dyDescent="0.2">
      <c r="A34" s="30" t="s">
        <v>175</v>
      </c>
      <c r="B34" s="49"/>
      <c r="C34" s="49"/>
      <c r="D34" s="49"/>
      <c r="E34" s="52">
        <f>N27</f>
        <v>524.54100000000005</v>
      </c>
      <c r="F34" s="53">
        <v>4216.3019999999997</v>
      </c>
      <c r="G34" s="12">
        <f>G31+G32+G33</f>
        <v>3.0070701696</v>
      </c>
      <c r="H34" s="20">
        <f>E34+F34+G34</f>
        <v>4743.8500701696003</v>
      </c>
      <c r="I34" s="49"/>
      <c r="J34" s="20">
        <f>J31+J32+J33</f>
        <v>558.66959717972361</v>
      </c>
      <c r="K34" s="51">
        <f>M34-L34-J34</f>
        <v>147.32664341227689</v>
      </c>
      <c r="L34" s="12">
        <f>L31+L32+L33</f>
        <v>1091.1138295776</v>
      </c>
      <c r="M34" s="12">
        <f>H34-N34</f>
        <v>1797.1100701696005</v>
      </c>
      <c r="N34" s="20">
        <v>2946.74</v>
      </c>
    </row>
    <row r="35" spans="1:14" ht="16.899999999999999" customHeight="1" x14ac:dyDescent="0.2">
      <c r="A35" s="26" t="s">
        <v>47</v>
      </c>
      <c r="B35" s="49"/>
      <c r="C35" s="49"/>
      <c r="D35" s="49"/>
      <c r="E35" s="52"/>
      <c r="F35" s="12"/>
      <c r="G35" s="12">
        <f>(23426.8*36.744)/1000000</f>
        <v>0.86079433919999992</v>
      </c>
      <c r="H35" s="20"/>
      <c r="I35" s="49"/>
      <c r="J35" s="20">
        <f>((5794233*0.907185)*36.744)/1000000</f>
        <v>193.14267780827416</v>
      </c>
      <c r="K35" s="51"/>
      <c r="L35" s="12">
        <f>(10445198.5*36.744)/1000000</f>
        <v>383.79837368400001</v>
      </c>
      <c r="M35" s="12"/>
      <c r="N35" s="20"/>
    </row>
    <row r="36" spans="1:14" ht="16.899999999999999" customHeight="1" x14ac:dyDescent="0.2">
      <c r="A36" s="26" t="s">
        <v>48</v>
      </c>
      <c r="B36" s="49"/>
      <c r="C36" s="49"/>
      <c r="D36" s="49"/>
      <c r="E36" s="52"/>
      <c r="F36" s="12"/>
      <c r="G36" s="12">
        <f>(19638*36.744)/1000000</f>
        <v>0.72157867200000003</v>
      </c>
      <c r="H36" s="20"/>
      <c r="I36" s="49"/>
      <c r="J36" s="20">
        <f>((5895360*0.907185)*36.744)/1000000</f>
        <v>196.5136053458304</v>
      </c>
      <c r="K36" s="51"/>
      <c r="L36" s="12">
        <f>(8829299.6*36.744)/1000000</f>
        <v>324.4237845024</v>
      </c>
      <c r="M36" s="12"/>
      <c r="N36" s="20"/>
    </row>
    <row r="37" spans="1:14" ht="16.899999999999999" customHeight="1" x14ac:dyDescent="0.2">
      <c r="A37" s="26" t="s">
        <v>49</v>
      </c>
      <c r="B37" s="49"/>
      <c r="C37" s="49"/>
      <c r="D37" s="49"/>
      <c r="E37" s="52"/>
      <c r="F37" s="12"/>
      <c r="G37" s="12">
        <f>(22552.9*36.744)/1000000</f>
        <v>0.82868375760000001</v>
      </c>
      <c r="H37" s="20"/>
      <c r="I37" s="49"/>
      <c r="J37" s="20">
        <f>((4930499*0.907185)*36.744)/1000000</f>
        <v>164.35130927441435</v>
      </c>
      <c r="K37" s="51"/>
      <c r="L37" s="12">
        <f>(4558707.1*36.744)/1000000</f>
        <v>167.50513368239999</v>
      </c>
      <c r="M37" s="12"/>
      <c r="N37" s="20"/>
    </row>
    <row r="38" spans="1:14" ht="16.899999999999999" customHeight="1" x14ac:dyDescent="0.2">
      <c r="A38" s="26" t="s">
        <v>176</v>
      </c>
      <c r="B38" s="49"/>
      <c r="C38" s="49"/>
      <c r="D38" s="49"/>
      <c r="E38" s="52">
        <f>N34</f>
        <v>2946.74</v>
      </c>
      <c r="F38" s="12"/>
      <c r="G38" s="12">
        <f>SUM(G35:G37)</f>
        <v>2.4110567688</v>
      </c>
      <c r="H38" s="20">
        <f>E38+F38+G38</f>
        <v>2949.1510567687997</v>
      </c>
      <c r="I38" s="49"/>
      <c r="J38" s="20">
        <f>SUM(J35:J37)</f>
        <v>554.00759242851893</v>
      </c>
      <c r="K38" s="51">
        <f>M38-L38-J38</f>
        <v>-42.267827528519319</v>
      </c>
      <c r="L38" s="12">
        <f>SUM(L35:L37)</f>
        <v>875.72729186880008</v>
      </c>
      <c r="M38" s="12">
        <f>H38-N38</f>
        <v>1387.4670567687997</v>
      </c>
      <c r="N38" s="20">
        <v>1561.684</v>
      </c>
    </row>
    <row r="39" spans="1:14" ht="16.899999999999999" customHeight="1" x14ac:dyDescent="0.2">
      <c r="A39" s="26" t="s">
        <v>50</v>
      </c>
      <c r="B39" s="49"/>
      <c r="C39" s="49"/>
      <c r="D39" s="49"/>
      <c r="E39" s="52"/>
      <c r="F39" s="12"/>
      <c r="G39" s="12">
        <f>(26142.7*36.744)/1000000</f>
        <v>0.96058736880000006</v>
      </c>
      <c r="H39" s="20"/>
      <c r="I39" s="49"/>
      <c r="J39" s="20">
        <f>((5646728*0.907185)*36.744)/1000000</f>
        <v>188.22580430834591</v>
      </c>
      <c r="K39" s="51"/>
      <c r="L39" s="12">
        <f>(2295121.8*36.744)/1000000</f>
        <v>84.331955419199986</v>
      </c>
      <c r="M39" s="12"/>
      <c r="N39" s="57"/>
    </row>
    <row r="40" spans="1:14" ht="16.899999999999999" customHeight="1" x14ac:dyDescent="0.2">
      <c r="A40" s="26" t="s">
        <v>51</v>
      </c>
      <c r="B40" s="49"/>
      <c r="C40" s="49"/>
      <c r="D40" s="49"/>
      <c r="E40" s="52"/>
      <c r="F40" s="12"/>
      <c r="G40" s="12">
        <f>(34734.1*36.744)/1000000</f>
        <v>1.2762697704000001</v>
      </c>
      <c r="H40" s="20"/>
      <c r="I40" s="49"/>
      <c r="J40" s="20">
        <f>((5095631*0.907185)*36.744)/1000000</f>
        <v>169.85575424095885</v>
      </c>
      <c r="K40" s="51"/>
      <c r="L40" s="12">
        <f>(1384924.4*36.744)/1000000</f>
        <v>50.887662153599997</v>
      </c>
      <c r="M40" s="12"/>
      <c r="N40" s="57"/>
    </row>
    <row r="41" spans="1:14" ht="16.899999999999999" customHeight="1" x14ac:dyDescent="0.2">
      <c r="A41" s="26" t="s">
        <v>52</v>
      </c>
      <c r="B41" s="49"/>
      <c r="C41" s="49"/>
      <c r="D41" s="49"/>
      <c r="E41" s="52"/>
      <c r="F41" s="12"/>
      <c r="G41" s="12">
        <f>(51046.1*36.744)/1000000</f>
        <v>1.8756378983999997</v>
      </c>
      <c r="H41" s="20"/>
      <c r="I41" s="49"/>
      <c r="J41" s="20">
        <f>((5205032*0.907185)*36.744)/1000000</f>
        <v>173.50248403158051</v>
      </c>
      <c r="K41" s="51"/>
      <c r="L41" s="12">
        <f>(1266685.1*36.744)/1000000</f>
        <v>46.543077314400001</v>
      </c>
      <c r="M41" s="12"/>
      <c r="N41" s="57"/>
    </row>
    <row r="42" spans="1:14" ht="16.899999999999999" customHeight="1" x14ac:dyDescent="0.2">
      <c r="A42" s="26" t="s">
        <v>177</v>
      </c>
      <c r="B42" s="49"/>
      <c r="C42" s="49"/>
      <c r="D42" s="49"/>
      <c r="E42" s="52">
        <f>N38</f>
        <v>1561.684</v>
      </c>
      <c r="F42" s="12"/>
      <c r="G42" s="12">
        <f>SUM(G39:G41)</f>
        <v>4.1124950375999996</v>
      </c>
      <c r="H42" s="20">
        <f>E42+F42+G42</f>
        <v>1565.7964950375999</v>
      </c>
      <c r="I42" s="49"/>
      <c r="J42" s="21">
        <f>SUM(J39:J41)</f>
        <v>531.58404258088524</v>
      </c>
      <c r="K42" s="51">
        <f>M42-L42-J42</f>
        <v>83.137757569514747</v>
      </c>
      <c r="L42" s="12">
        <f>SUM(L39:L41)</f>
        <v>181.76269488719998</v>
      </c>
      <c r="M42" s="12">
        <f>H42-N42</f>
        <v>796.48449503759991</v>
      </c>
      <c r="N42" s="20">
        <v>769.31200000000001</v>
      </c>
    </row>
    <row r="43" spans="1:14" ht="16.899999999999999" customHeight="1" x14ac:dyDescent="0.2">
      <c r="A43" s="26" t="s">
        <v>53</v>
      </c>
      <c r="B43" s="49"/>
      <c r="C43" s="49"/>
      <c r="D43" s="49"/>
      <c r="E43" s="52"/>
      <c r="F43" s="12"/>
      <c r="G43" s="12">
        <f>(205436.7*36.744)/1000000</f>
        <v>7.5485661048000008</v>
      </c>
      <c r="H43" s="20"/>
      <c r="I43" s="49"/>
      <c r="J43" s="21">
        <f>((4852334*0.907185)*36.744)/1000000</f>
        <v>161.74578798956375</v>
      </c>
      <c r="K43" s="51"/>
      <c r="L43" s="12">
        <f>(925497.6*36.744)/1000000</f>
        <v>34.006483814399999</v>
      </c>
      <c r="M43" s="12"/>
      <c r="N43" s="20"/>
    </row>
    <row r="44" spans="1:14" ht="16.899999999999999" customHeight="1" x14ac:dyDescent="0.2">
      <c r="A44" s="26" t="s">
        <v>55</v>
      </c>
      <c r="B44" s="49"/>
      <c r="C44" s="49"/>
      <c r="D44" s="49"/>
      <c r="E44" s="52"/>
      <c r="F44" s="12"/>
      <c r="G44" s="12">
        <f>(59776.6*36.744)/1000000</f>
        <v>2.1964313903999999</v>
      </c>
      <c r="H44" s="20"/>
      <c r="I44" s="49"/>
      <c r="J44" s="21">
        <f>((4989996*0.907185)*36.744)/1000000</f>
        <v>166.33455880917742</v>
      </c>
      <c r="K44" s="51"/>
      <c r="L44" s="12">
        <f>(945804.5*36.744)/1000000</f>
        <v>34.752640548000002</v>
      </c>
      <c r="M44" s="12"/>
      <c r="N44" s="20"/>
    </row>
    <row r="45" spans="1:14" ht="16.899999999999999" customHeight="1" x14ac:dyDescent="0.2">
      <c r="A45" s="26" t="s">
        <v>56</v>
      </c>
      <c r="B45" s="49"/>
      <c r="C45" s="49"/>
      <c r="D45" s="49"/>
      <c r="E45" s="52"/>
      <c r="F45" s="12"/>
      <c r="G45" s="12">
        <f>(15317.3*36.744)/1000000</f>
        <v>0.56281887119999996</v>
      </c>
      <c r="H45" s="20"/>
      <c r="I45" s="49"/>
      <c r="J45" s="21">
        <f>((5047776*0.907185)*36.744)/1000000</f>
        <v>168.26057454305666</v>
      </c>
      <c r="K45" s="51"/>
      <c r="L45" s="12">
        <f>(1308682.8*36.744)/1000000</f>
        <v>48.086240803199999</v>
      </c>
      <c r="M45" s="12"/>
      <c r="N45" s="20"/>
    </row>
    <row r="46" spans="1:14" ht="16.899999999999999" customHeight="1" x14ac:dyDescent="0.2">
      <c r="A46" s="26" t="s">
        <v>179</v>
      </c>
      <c r="B46" s="49"/>
      <c r="C46" s="49"/>
      <c r="D46" s="49"/>
      <c r="E46" s="52">
        <f>N42</f>
        <v>769.31200000000001</v>
      </c>
      <c r="F46" s="12"/>
      <c r="G46" s="12">
        <f>SUM(G43:G45)</f>
        <v>10.307816366399999</v>
      </c>
      <c r="H46" s="20">
        <f>E46+F46+G46</f>
        <v>779.61981636639996</v>
      </c>
      <c r="I46" s="49"/>
      <c r="J46" s="21">
        <f>SUM(J43:J45)</f>
        <v>496.34092134179787</v>
      </c>
      <c r="K46" s="55">
        <f>M46-L46-J46</f>
        <v>-89.745470140997895</v>
      </c>
      <c r="L46" s="12">
        <f>SUM(L43:L45)</f>
        <v>116.8453651656</v>
      </c>
      <c r="M46" s="12">
        <f>H46-N46</f>
        <v>523.44081636639999</v>
      </c>
      <c r="N46" s="20">
        <v>256.17899999999997</v>
      </c>
    </row>
    <row r="47" spans="1:14" ht="16.5" customHeight="1" x14ac:dyDescent="0.2">
      <c r="A47" s="24" t="s">
        <v>123</v>
      </c>
      <c r="B47" s="58"/>
      <c r="C47" s="58"/>
      <c r="D47" s="58"/>
      <c r="E47" s="59"/>
      <c r="F47" s="60">
        <f>F34</f>
        <v>4216.3019999999997</v>
      </c>
      <c r="G47" s="61">
        <f>G34+G38+G42+G46</f>
        <v>19.838438342399996</v>
      </c>
      <c r="H47" s="8">
        <f>E34+F47+G47</f>
        <v>4760.6814383423998</v>
      </c>
      <c r="I47" s="58"/>
      <c r="J47" s="8">
        <f>J34+J38+J42+J46</f>
        <v>2140.6021535309255</v>
      </c>
      <c r="K47" s="62">
        <f>SUM(K34,K38,K42,K46)</f>
        <v>98.451103312274427</v>
      </c>
      <c r="L47" s="61">
        <f>L34+L38+L42+L46</f>
        <v>2265.4491814991998</v>
      </c>
      <c r="M47" s="61">
        <f>M34+M38+M42+M46</f>
        <v>4504.5024383424006</v>
      </c>
      <c r="N47" s="8"/>
    </row>
    <row r="48" spans="1:14" ht="16.5" customHeight="1" x14ac:dyDescent="0.2">
      <c r="A48" s="63" t="s">
        <v>115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64"/>
      <c r="M48" s="30"/>
      <c r="N48" s="30"/>
    </row>
    <row r="49" spans="1:73" ht="16.5" customHeight="1" x14ac:dyDescent="0.2">
      <c r="A49" s="26" t="s">
        <v>142</v>
      </c>
      <c r="B49" s="26"/>
      <c r="C49" s="26"/>
      <c r="D49" s="26"/>
      <c r="E49" s="65"/>
      <c r="F49" s="65"/>
      <c r="G49" s="65"/>
      <c r="H49" s="65"/>
      <c r="I49" s="65"/>
      <c r="J49" s="65"/>
      <c r="K49" s="65"/>
      <c r="L49" s="65"/>
      <c r="M49" s="65"/>
      <c r="N49" s="65"/>
    </row>
    <row r="50" spans="1:73" ht="16.5" customHeight="1" x14ac:dyDescent="0.2">
      <c r="A50" s="32" t="s">
        <v>18</v>
      </c>
      <c r="B50" s="66">
        <f ca="1">NOW()</f>
        <v>44482.587913078707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67"/>
      <c r="P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</row>
    <row r="51" spans="1:73" x14ac:dyDescent="0.2">
      <c r="O51" s="67"/>
      <c r="P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</row>
    <row r="52" spans="1:73" x14ac:dyDescent="0.2">
      <c r="O52" s="67"/>
      <c r="P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</row>
    <row r="53" spans="1:73" x14ac:dyDescent="0.2">
      <c r="O53" s="67"/>
      <c r="P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</row>
    <row r="54" spans="1:73" x14ac:dyDescent="0.2">
      <c r="F54" s="68"/>
      <c r="O54" s="67"/>
      <c r="P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</row>
    <row r="55" spans="1:73" x14ac:dyDescent="0.2">
      <c r="O55" s="67"/>
      <c r="P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</row>
    <row r="56" spans="1:73" x14ac:dyDescent="0.2">
      <c r="O56" s="67"/>
      <c r="P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</row>
    <row r="57" spans="1:73" x14ac:dyDescent="0.2">
      <c r="O57" s="67"/>
      <c r="P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</row>
    <row r="58" spans="1:73" x14ac:dyDescent="0.2">
      <c r="O58" s="67"/>
      <c r="P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</row>
    <row r="59" spans="1:73" x14ac:dyDescent="0.2">
      <c r="O59" s="67"/>
      <c r="P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</row>
    <row r="60" spans="1:73" x14ac:dyDescent="0.2">
      <c r="O60" s="67"/>
      <c r="P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</row>
    <row r="61" spans="1:73" x14ac:dyDescent="0.2">
      <c r="O61" s="67"/>
      <c r="P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</row>
    <row r="62" spans="1:73" x14ac:dyDescent="0.2">
      <c r="O62" s="67"/>
      <c r="P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</row>
    <row r="63" spans="1:73" x14ac:dyDescent="0.2">
      <c r="O63" s="67"/>
      <c r="P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</row>
    <row r="64" spans="1:73" x14ac:dyDescent="0.2">
      <c r="O64" s="67"/>
      <c r="P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</row>
    <row r="65" spans="15:73" x14ac:dyDescent="0.2">
      <c r="O65" s="67"/>
      <c r="P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</row>
    <row r="66" spans="15:73" x14ac:dyDescent="0.2">
      <c r="O66" s="67"/>
      <c r="P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</row>
    <row r="67" spans="15:73" x14ac:dyDescent="0.2">
      <c r="O67" s="67"/>
      <c r="P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</row>
    <row r="68" spans="15:73" x14ac:dyDescent="0.2">
      <c r="O68" s="67"/>
      <c r="P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</row>
    <row r="69" spans="15:73" x14ac:dyDescent="0.2">
      <c r="O69" s="67"/>
      <c r="P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</row>
    <row r="70" spans="15:73" x14ac:dyDescent="0.2">
      <c r="O70" s="67"/>
      <c r="P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</row>
    <row r="71" spans="15:73" x14ac:dyDescent="0.2">
      <c r="O71" s="67"/>
      <c r="P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</row>
    <row r="72" spans="15:73" x14ac:dyDescent="0.2">
      <c r="O72" s="67"/>
      <c r="P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</row>
    <row r="73" spans="15:73" x14ac:dyDescent="0.2">
      <c r="O73" s="67"/>
      <c r="P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</row>
    <row r="74" spans="15:73" x14ac:dyDescent="0.2">
      <c r="O74" s="67"/>
      <c r="P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</row>
    <row r="75" spans="15:73" x14ac:dyDescent="0.2">
      <c r="O75" s="67"/>
      <c r="P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</row>
    <row r="76" spans="15:73" x14ac:dyDescent="0.2">
      <c r="O76" s="67"/>
      <c r="P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</row>
    <row r="77" spans="15:73" x14ac:dyDescent="0.2">
      <c r="O77" s="67"/>
      <c r="P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</row>
    <row r="78" spans="15:73" x14ac:dyDescent="0.2"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</row>
    <row r="79" spans="15:73" x14ac:dyDescent="0.2"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</row>
    <row r="80" spans="15:73" x14ac:dyDescent="0.2"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</row>
    <row r="81" spans="15:73" x14ac:dyDescent="0.2"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</row>
    <row r="82" spans="15:73" x14ac:dyDescent="0.2"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</row>
    <row r="83" spans="15:73" x14ac:dyDescent="0.2"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</row>
    <row r="84" spans="15:73" x14ac:dyDescent="0.2"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</row>
    <row r="85" spans="15:73" x14ac:dyDescent="0.2"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</row>
    <row r="86" spans="15:73" x14ac:dyDescent="0.2"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</row>
    <row r="87" spans="15:73" x14ac:dyDescent="0.2"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</row>
    <row r="88" spans="15:73" x14ac:dyDescent="0.2"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</row>
    <row r="89" spans="15:73" x14ac:dyDescent="0.2"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</row>
    <row r="90" spans="15:73" x14ac:dyDescent="0.2"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</row>
    <row r="91" spans="15:73" x14ac:dyDescent="0.2"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</row>
    <row r="92" spans="15:73" x14ac:dyDescent="0.2"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7"/>
      <c r="BR92" s="67"/>
      <c r="BS92" s="67"/>
      <c r="BT92" s="67"/>
      <c r="BU92" s="67"/>
    </row>
    <row r="93" spans="15:73" x14ac:dyDescent="0.2"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7"/>
      <c r="BR93" s="67"/>
      <c r="BS93" s="67"/>
      <c r="BT93" s="67"/>
      <c r="BU93" s="67"/>
    </row>
    <row r="94" spans="15:73" x14ac:dyDescent="0.2"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</row>
    <row r="95" spans="15:73" x14ac:dyDescent="0.2"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</row>
    <row r="96" spans="15:73" x14ac:dyDescent="0.2"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</row>
    <row r="97" spans="15:73" x14ac:dyDescent="0.2"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</row>
    <row r="98" spans="15:73" x14ac:dyDescent="0.2"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</row>
    <row r="99" spans="15:73" x14ac:dyDescent="0.2"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7"/>
    </row>
    <row r="100" spans="15:73" x14ac:dyDescent="0.2"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  <c r="BO100" s="67"/>
      <c r="BP100" s="67"/>
      <c r="BQ100" s="67"/>
      <c r="BR100" s="67"/>
      <c r="BS100" s="67"/>
      <c r="BT100" s="67"/>
      <c r="BU100" s="67"/>
    </row>
    <row r="101" spans="15:73" x14ac:dyDescent="0.2"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/>
      <c r="BQ101" s="67"/>
      <c r="BR101" s="67"/>
      <c r="BS101" s="67"/>
      <c r="BT101" s="67"/>
      <c r="BU101" s="67"/>
    </row>
    <row r="102" spans="15:73" x14ac:dyDescent="0.2"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</row>
    <row r="103" spans="15:73" x14ac:dyDescent="0.2"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</row>
    <row r="104" spans="15:73" x14ac:dyDescent="0.2"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  <c r="BM104" s="67"/>
      <c r="BN104" s="67"/>
      <c r="BO104" s="67"/>
      <c r="BP104" s="67"/>
      <c r="BQ104" s="67"/>
      <c r="BR104" s="67"/>
      <c r="BS104" s="67"/>
      <c r="BT104" s="67"/>
      <c r="BU104" s="67"/>
    </row>
    <row r="105" spans="15:73" x14ac:dyDescent="0.2"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67"/>
      <c r="BL105" s="67"/>
      <c r="BM105" s="67"/>
      <c r="BN105" s="67"/>
      <c r="BO105" s="67"/>
      <c r="BP105" s="67"/>
      <c r="BQ105" s="67"/>
      <c r="BR105" s="67"/>
      <c r="BS105" s="67"/>
      <c r="BT105" s="67"/>
      <c r="BU105" s="67"/>
    </row>
    <row r="106" spans="15:73" x14ac:dyDescent="0.2"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</row>
    <row r="107" spans="15:73" x14ac:dyDescent="0.2"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</row>
    <row r="108" spans="15:73" x14ac:dyDescent="0.2"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</row>
    <row r="109" spans="15:73" x14ac:dyDescent="0.2"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7"/>
      <c r="BT109" s="67"/>
      <c r="BU109" s="67"/>
    </row>
    <row r="110" spans="15:73" x14ac:dyDescent="0.2"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67"/>
      <c r="BU110" s="67"/>
    </row>
    <row r="111" spans="15:73" x14ac:dyDescent="0.2"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7"/>
      <c r="BR111" s="67"/>
      <c r="BS111" s="67"/>
      <c r="BT111" s="67"/>
      <c r="BU111" s="67"/>
    </row>
    <row r="112" spans="15:73" x14ac:dyDescent="0.2"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</row>
    <row r="113" spans="15:73" x14ac:dyDescent="0.2"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  <c r="BF113" s="67"/>
      <c r="BG113" s="67"/>
      <c r="BH113" s="67"/>
      <c r="BI113" s="67"/>
      <c r="BJ113" s="67"/>
      <c r="BK113" s="67"/>
      <c r="BL113" s="67"/>
      <c r="BM113" s="67"/>
      <c r="BN113" s="67"/>
      <c r="BO113" s="67"/>
      <c r="BP113" s="67"/>
      <c r="BQ113" s="67"/>
      <c r="BR113" s="67"/>
      <c r="BS113" s="67"/>
      <c r="BT113" s="67"/>
      <c r="BU113" s="67"/>
    </row>
    <row r="114" spans="15:73" x14ac:dyDescent="0.2"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67"/>
      <c r="BM114" s="67"/>
      <c r="BN114" s="67"/>
      <c r="BO114" s="67"/>
      <c r="BP114" s="67"/>
      <c r="BQ114" s="67"/>
      <c r="BR114" s="67"/>
      <c r="BS114" s="67"/>
      <c r="BT114" s="67"/>
      <c r="BU114" s="67"/>
    </row>
    <row r="115" spans="15:73" x14ac:dyDescent="0.2"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</row>
    <row r="116" spans="15:73" x14ac:dyDescent="0.2"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7"/>
    </row>
    <row r="117" spans="15:73" x14ac:dyDescent="0.2"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</row>
    <row r="118" spans="15:73" x14ac:dyDescent="0.2"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  <c r="BD118" s="67"/>
      <c r="BE118" s="67"/>
      <c r="BF118" s="67"/>
      <c r="BG118" s="67"/>
      <c r="BH118" s="67"/>
      <c r="BI118" s="67"/>
      <c r="BJ118" s="67"/>
      <c r="BK118" s="67"/>
      <c r="BL118" s="67"/>
      <c r="BM118" s="67"/>
      <c r="BN118" s="67"/>
      <c r="BO118" s="67"/>
      <c r="BP118" s="67"/>
      <c r="BQ118" s="67"/>
      <c r="BR118" s="67"/>
      <c r="BS118" s="67"/>
      <c r="BT118" s="67"/>
      <c r="BU118" s="67"/>
    </row>
    <row r="119" spans="15:73" x14ac:dyDescent="0.2"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67"/>
      <c r="BL119" s="67"/>
      <c r="BM119" s="67"/>
      <c r="BN119" s="67"/>
      <c r="BO119" s="67"/>
      <c r="BP119" s="67"/>
      <c r="BQ119" s="67"/>
      <c r="BR119" s="67"/>
      <c r="BS119" s="67"/>
      <c r="BT119" s="67"/>
      <c r="BU119" s="67"/>
    </row>
    <row r="120" spans="15:73" x14ac:dyDescent="0.2"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</row>
    <row r="121" spans="15:73" x14ac:dyDescent="0.2"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</row>
    <row r="122" spans="15:73" x14ac:dyDescent="0.2"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67"/>
      <c r="BR122" s="67"/>
      <c r="BS122" s="67"/>
      <c r="BT122" s="67"/>
      <c r="BU122" s="67"/>
    </row>
    <row r="123" spans="15:73" x14ac:dyDescent="0.2"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67"/>
      <c r="BS123" s="67"/>
      <c r="BT123" s="67"/>
      <c r="BU123" s="67"/>
    </row>
    <row r="124" spans="15:73" x14ac:dyDescent="0.2"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  <c r="BK124" s="67"/>
      <c r="BL124" s="67"/>
      <c r="BM124" s="67"/>
      <c r="BN124" s="67"/>
      <c r="BO124" s="67"/>
      <c r="BP124" s="67"/>
      <c r="BQ124" s="67"/>
      <c r="BR124" s="67"/>
      <c r="BS124" s="67"/>
      <c r="BT124" s="67"/>
      <c r="BU124" s="67"/>
    </row>
    <row r="125" spans="15:73" x14ac:dyDescent="0.2"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67"/>
      <c r="BL125" s="67"/>
      <c r="BM125" s="67"/>
      <c r="BN125" s="67"/>
      <c r="BO125" s="67"/>
      <c r="BP125" s="67"/>
      <c r="BQ125" s="67"/>
      <c r="BR125" s="67"/>
      <c r="BS125" s="67"/>
      <c r="BT125" s="67"/>
      <c r="BU125" s="67"/>
    </row>
    <row r="126" spans="15:73" x14ac:dyDescent="0.2"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  <c r="BO126" s="67"/>
      <c r="BP126" s="67"/>
      <c r="BQ126" s="67"/>
      <c r="BR126" s="67"/>
      <c r="BS126" s="67"/>
      <c r="BT126" s="67"/>
      <c r="BU126" s="67"/>
    </row>
    <row r="127" spans="15:73" x14ac:dyDescent="0.2"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67"/>
      <c r="BM127" s="67"/>
      <c r="BN127" s="67"/>
      <c r="BO127" s="67"/>
      <c r="BP127" s="67"/>
      <c r="BQ127" s="67"/>
      <c r="BR127" s="67"/>
      <c r="BS127" s="67"/>
      <c r="BT127" s="67"/>
      <c r="BU127" s="67"/>
    </row>
    <row r="128" spans="15:73" x14ac:dyDescent="0.2"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  <c r="BM128" s="67"/>
      <c r="BN128" s="67"/>
      <c r="BO128" s="67"/>
      <c r="BP128" s="67"/>
      <c r="BQ128" s="67"/>
      <c r="BR128" s="67"/>
      <c r="BS128" s="67"/>
      <c r="BT128" s="67"/>
      <c r="BU128" s="67"/>
    </row>
    <row r="129" spans="15:73" x14ac:dyDescent="0.2"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/>
      <c r="BQ129" s="67"/>
      <c r="BR129" s="67"/>
      <c r="BS129" s="67"/>
      <c r="BT129" s="67"/>
      <c r="BU129" s="67"/>
    </row>
    <row r="130" spans="15:73" x14ac:dyDescent="0.2"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</row>
    <row r="131" spans="15:73" x14ac:dyDescent="0.2"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</row>
    <row r="132" spans="15:73" x14ac:dyDescent="0.2"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</row>
    <row r="133" spans="15:73" x14ac:dyDescent="0.2"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</row>
    <row r="134" spans="15:73" x14ac:dyDescent="0.2"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  <c r="BJ134" s="67"/>
      <c r="BK134" s="67"/>
      <c r="BL134" s="67"/>
      <c r="BM134" s="67"/>
      <c r="BN134" s="67"/>
      <c r="BO134" s="67"/>
      <c r="BP134" s="67"/>
      <c r="BQ134" s="67"/>
      <c r="BR134" s="67"/>
      <c r="BS134" s="67"/>
      <c r="BT134" s="67"/>
      <c r="BU134" s="67"/>
    </row>
    <row r="135" spans="15:73" x14ac:dyDescent="0.2"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  <c r="BO135" s="67"/>
      <c r="BP135" s="67"/>
      <c r="BQ135" s="67"/>
      <c r="BR135" s="67"/>
      <c r="BS135" s="67"/>
      <c r="BT135" s="67"/>
      <c r="BU135" s="67"/>
    </row>
    <row r="136" spans="15:73" x14ac:dyDescent="0.2"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  <c r="BF136" s="67"/>
      <c r="BG136" s="67"/>
      <c r="BH136" s="67"/>
      <c r="BI136" s="67"/>
      <c r="BJ136" s="67"/>
      <c r="BK136" s="67"/>
      <c r="BL136" s="67"/>
      <c r="BM136" s="67"/>
      <c r="BN136" s="67"/>
      <c r="BO136" s="67"/>
      <c r="BP136" s="67"/>
      <c r="BQ136" s="67"/>
      <c r="BR136" s="67"/>
      <c r="BS136" s="67"/>
      <c r="BT136" s="67"/>
      <c r="BU136" s="67"/>
    </row>
    <row r="137" spans="15:73" x14ac:dyDescent="0.2"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67"/>
      <c r="BK137" s="67"/>
      <c r="BL137" s="67"/>
      <c r="BM137" s="67"/>
      <c r="BN137" s="67"/>
      <c r="BO137" s="67"/>
      <c r="BP137" s="67"/>
      <c r="BQ137" s="67"/>
      <c r="BR137" s="67"/>
      <c r="BS137" s="67"/>
      <c r="BT137" s="67"/>
      <c r="BU137" s="67"/>
    </row>
    <row r="138" spans="15:73" x14ac:dyDescent="0.2"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67"/>
      <c r="BK138" s="67"/>
      <c r="BL138" s="67"/>
      <c r="BM138" s="67"/>
      <c r="BN138" s="67"/>
      <c r="BO138" s="67"/>
      <c r="BP138" s="67"/>
      <c r="BQ138" s="67"/>
      <c r="BR138" s="67"/>
      <c r="BS138" s="67"/>
      <c r="BT138" s="67"/>
      <c r="BU138" s="67"/>
    </row>
    <row r="139" spans="15:73" x14ac:dyDescent="0.2"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  <c r="BJ139" s="67"/>
      <c r="BK139" s="67"/>
      <c r="BL139" s="67"/>
      <c r="BM139" s="67"/>
      <c r="BN139" s="67"/>
      <c r="BO139" s="67"/>
      <c r="BP139" s="67"/>
      <c r="BQ139" s="67"/>
      <c r="BR139" s="67"/>
      <c r="BS139" s="67"/>
      <c r="BT139" s="67"/>
      <c r="BU139" s="67"/>
    </row>
    <row r="140" spans="15:73" x14ac:dyDescent="0.2"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</row>
    <row r="141" spans="15:73" x14ac:dyDescent="0.2"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</row>
    <row r="142" spans="15:73" x14ac:dyDescent="0.2"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  <c r="BL142" s="67"/>
      <c r="BM142" s="67"/>
      <c r="BN142" s="67"/>
      <c r="BO142" s="67"/>
      <c r="BP142" s="67"/>
      <c r="BQ142" s="67"/>
      <c r="BR142" s="67"/>
      <c r="BS142" s="67"/>
      <c r="BT142" s="67"/>
      <c r="BU142" s="67"/>
    </row>
    <row r="143" spans="15:73" x14ac:dyDescent="0.2"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67"/>
      <c r="BK143" s="67"/>
      <c r="BL143" s="67"/>
      <c r="BM143" s="67"/>
      <c r="BN143" s="67"/>
      <c r="BO143" s="67"/>
      <c r="BP143" s="67"/>
      <c r="BQ143" s="67"/>
      <c r="BR143" s="67"/>
      <c r="BS143" s="67"/>
      <c r="BT143" s="67"/>
      <c r="BU143" s="67"/>
    </row>
    <row r="144" spans="15:73" x14ac:dyDescent="0.2"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  <c r="BF144" s="67"/>
      <c r="BG144" s="67"/>
      <c r="BH144" s="67"/>
      <c r="BI144" s="67"/>
      <c r="BJ144" s="67"/>
      <c r="BK144" s="67"/>
      <c r="BL144" s="67"/>
      <c r="BM144" s="67"/>
      <c r="BN144" s="67"/>
      <c r="BO144" s="67"/>
      <c r="BP144" s="67"/>
      <c r="BQ144" s="67"/>
      <c r="BR144" s="67"/>
      <c r="BS144" s="67"/>
      <c r="BT144" s="67"/>
      <c r="BU144" s="67"/>
    </row>
    <row r="145" spans="15:73" x14ac:dyDescent="0.2"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67"/>
    </row>
    <row r="146" spans="15:73" x14ac:dyDescent="0.2"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  <c r="BK146" s="67"/>
      <c r="BL146" s="67"/>
      <c r="BM146" s="67"/>
      <c r="BN146" s="67"/>
      <c r="BO146" s="67"/>
      <c r="BP146" s="67"/>
      <c r="BQ146" s="67"/>
      <c r="BR146" s="67"/>
      <c r="BS146" s="67"/>
      <c r="BT146" s="67"/>
      <c r="BU146" s="67"/>
    </row>
    <row r="147" spans="15:73" x14ac:dyDescent="0.2"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  <c r="BO147" s="67"/>
      <c r="BP147" s="67"/>
      <c r="BQ147" s="67"/>
      <c r="BR147" s="67"/>
      <c r="BS147" s="67"/>
      <c r="BT147" s="67"/>
      <c r="BU147" s="67"/>
    </row>
    <row r="148" spans="15:73" x14ac:dyDescent="0.2"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  <c r="BD148" s="67"/>
      <c r="BE148" s="67"/>
      <c r="BF148" s="67"/>
      <c r="BG148" s="67"/>
      <c r="BH148" s="67"/>
      <c r="BI148" s="67"/>
      <c r="BJ148" s="67"/>
      <c r="BK148" s="67"/>
      <c r="BL148" s="67"/>
      <c r="BM148" s="67"/>
      <c r="BN148" s="67"/>
      <c r="BO148" s="67"/>
      <c r="BP148" s="67"/>
      <c r="BQ148" s="67"/>
      <c r="BR148" s="67"/>
      <c r="BS148" s="67"/>
      <c r="BT148" s="67"/>
      <c r="BU148" s="67"/>
    </row>
    <row r="149" spans="15:73" x14ac:dyDescent="0.2"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  <c r="BF149" s="67"/>
      <c r="BG149" s="67"/>
      <c r="BH149" s="67"/>
      <c r="BI149" s="67"/>
      <c r="BJ149" s="67"/>
      <c r="BK149" s="67"/>
      <c r="BL149" s="67"/>
      <c r="BM149" s="67"/>
      <c r="BN149" s="67"/>
      <c r="BO149" s="67"/>
      <c r="BP149" s="67"/>
      <c r="BQ149" s="67"/>
      <c r="BR149" s="67"/>
      <c r="BS149" s="67"/>
      <c r="BT149" s="67"/>
      <c r="BU149" s="67"/>
    </row>
    <row r="150" spans="15:73" x14ac:dyDescent="0.2"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  <c r="BM150" s="67"/>
      <c r="BN150" s="67"/>
      <c r="BO150" s="67"/>
      <c r="BP150" s="67"/>
      <c r="BQ150" s="67"/>
      <c r="BR150" s="67"/>
      <c r="BS150" s="67"/>
      <c r="BT150" s="67"/>
      <c r="BU150" s="67"/>
    </row>
    <row r="151" spans="15:73" x14ac:dyDescent="0.2"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  <c r="BK151" s="67"/>
      <c r="BL151" s="67"/>
      <c r="BM151" s="67"/>
      <c r="BN151" s="67"/>
      <c r="BO151" s="67"/>
      <c r="BP151" s="67"/>
      <c r="BQ151" s="67"/>
      <c r="BR151" s="67"/>
      <c r="BS151" s="67"/>
      <c r="BT151" s="67"/>
      <c r="BU151" s="67"/>
    </row>
    <row r="152" spans="15:73" x14ac:dyDescent="0.2"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</row>
    <row r="153" spans="15:73" x14ac:dyDescent="0.2"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  <c r="BD153" s="67"/>
      <c r="BE153" s="67"/>
      <c r="BF153" s="67"/>
      <c r="BG153" s="67"/>
      <c r="BH153" s="67"/>
      <c r="BI153" s="67"/>
      <c r="BJ153" s="67"/>
      <c r="BK153" s="67"/>
      <c r="BL153" s="67"/>
      <c r="BM153" s="67"/>
      <c r="BN153" s="67"/>
      <c r="BO153" s="67"/>
      <c r="BP153" s="67"/>
      <c r="BQ153" s="67"/>
      <c r="BR153" s="67"/>
      <c r="BS153" s="67"/>
      <c r="BT153" s="67"/>
      <c r="BU153" s="67"/>
    </row>
    <row r="154" spans="15:73" x14ac:dyDescent="0.2"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  <c r="BD154" s="67"/>
      <c r="BE154" s="67"/>
      <c r="BF154" s="67"/>
      <c r="BG154" s="67"/>
      <c r="BH154" s="67"/>
      <c r="BI154" s="67"/>
      <c r="BJ154" s="67"/>
      <c r="BK154" s="67"/>
      <c r="BL154" s="67"/>
      <c r="BM154" s="67"/>
      <c r="BN154" s="67"/>
      <c r="BO154" s="67"/>
      <c r="BP154" s="67"/>
      <c r="BQ154" s="67"/>
      <c r="BR154" s="67"/>
      <c r="BS154" s="67"/>
      <c r="BT154" s="67"/>
      <c r="BU154" s="67"/>
    </row>
    <row r="155" spans="15:73" x14ac:dyDescent="0.2"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  <c r="BM155" s="67"/>
      <c r="BN155" s="67"/>
      <c r="BO155" s="67"/>
      <c r="BP155" s="67"/>
      <c r="BQ155" s="67"/>
      <c r="BR155" s="67"/>
      <c r="BS155" s="67"/>
      <c r="BT155" s="67"/>
      <c r="BU155" s="67"/>
    </row>
    <row r="156" spans="15:73" x14ac:dyDescent="0.2"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  <c r="BB156" s="67"/>
      <c r="BC156" s="67"/>
      <c r="BD156" s="67"/>
      <c r="BE156" s="67"/>
      <c r="BF156" s="67"/>
      <c r="BG156" s="67"/>
      <c r="BH156" s="67"/>
      <c r="BI156" s="67"/>
      <c r="BJ156" s="67"/>
      <c r="BK156" s="67"/>
      <c r="BL156" s="67"/>
      <c r="BM156" s="67"/>
      <c r="BN156" s="67"/>
      <c r="BO156" s="67"/>
      <c r="BP156" s="67"/>
      <c r="BQ156" s="67"/>
      <c r="BR156" s="67"/>
      <c r="BS156" s="67"/>
      <c r="BT156" s="67"/>
      <c r="BU156" s="67"/>
    </row>
    <row r="157" spans="15:73" x14ac:dyDescent="0.2"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  <c r="BD157" s="67"/>
      <c r="BE157" s="67"/>
      <c r="BF157" s="67"/>
      <c r="BG157" s="67"/>
      <c r="BH157" s="67"/>
      <c r="BI157" s="67"/>
      <c r="BJ157" s="67"/>
      <c r="BK157" s="67"/>
      <c r="BL157" s="67"/>
      <c r="BM157" s="67"/>
      <c r="BN157" s="67"/>
      <c r="BO157" s="67"/>
      <c r="BP157" s="67"/>
      <c r="BQ157" s="67"/>
      <c r="BR157" s="67"/>
      <c r="BS157" s="67"/>
      <c r="BT157" s="67"/>
      <c r="BU157" s="67"/>
    </row>
    <row r="158" spans="15:73" x14ac:dyDescent="0.2"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</row>
    <row r="159" spans="15:73" x14ac:dyDescent="0.2"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67"/>
      <c r="BM159" s="67"/>
      <c r="BN159" s="67"/>
      <c r="BO159" s="67"/>
      <c r="BP159" s="67"/>
      <c r="BQ159" s="67"/>
      <c r="BR159" s="67"/>
      <c r="BS159" s="67"/>
      <c r="BT159" s="67"/>
      <c r="BU159" s="67"/>
    </row>
    <row r="160" spans="15:73" x14ac:dyDescent="0.2"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67"/>
      <c r="BM160" s="67"/>
      <c r="BN160" s="67"/>
      <c r="BO160" s="67"/>
      <c r="BP160" s="67"/>
      <c r="BQ160" s="67"/>
      <c r="BR160" s="67"/>
      <c r="BS160" s="67"/>
      <c r="BT160" s="67"/>
      <c r="BU160" s="67"/>
    </row>
    <row r="161" spans="15:73" x14ac:dyDescent="0.2"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  <c r="BL161" s="67"/>
      <c r="BM161" s="67"/>
      <c r="BN161" s="67"/>
      <c r="BO161" s="67"/>
      <c r="BP161" s="67"/>
      <c r="BQ161" s="67"/>
      <c r="BR161" s="67"/>
      <c r="BS161" s="67"/>
      <c r="BT161" s="67"/>
      <c r="BU161" s="67"/>
    </row>
    <row r="162" spans="15:73" x14ac:dyDescent="0.2"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  <c r="BL162" s="67"/>
      <c r="BM162" s="67"/>
      <c r="BN162" s="67"/>
      <c r="BO162" s="67"/>
      <c r="BP162" s="67"/>
      <c r="BQ162" s="67"/>
      <c r="BR162" s="67"/>
      <c r="BS162" s="67"/>
      <c r="BT162" s="67"/>
      <c r="BU162" s="67"/>
    </row>
    <row r="163" spans="15:73" x14ac:dyDescent="0.2"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  <c r="BF163" s="67"/>
      <c r="BG163" s="67"/>
      <c r="BH163" s="67"/>
      <c r="BI163" s="67"/>
      <c r="BJ163" s="67"/>
      <c r="BK163" s="67"/>
      <c r="BL163" s="67"/>
      <c r="BM163" s="67"/>
      <c r="BN163" s="67"/>
      <c r="BO163" s="67"/>
      <c r="BP163" s="67"/>
      <c r="BQ163" s="67"/>
      <c r="BR163" s="67"/>
      <c r="BS163" s="67"/>
      <c r="BT163" s="67"/>
      <c r="BU163" s="67"/>
    </row>
    <row r="164" spans="15:73" x14ac:dyDescent="0.2"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  <c r="BM164" s="67"/>
      <c r="BN164" s="67"/>
      <c r="BO164" s="67"/>
      <c r="BP164" s="67"/>
      <c r="BQ164" s="67"/>
      <c r="BR164" s="67"/>
      <c r="BS164" s="67"/>
      <c r="BT164" s="67"/>
      <c r="BU164" s="67"/>
    </row>
    <row r="165" spans="15:73" x14ac:dyDescent="0.2"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  <c r="BD165" s="67"/>
      <c r="BE165" s="67"/>
      <c r="BF165" s="67"/>
      <c r="BG165" s="67"/>
      <c r="BH165" s="67"/>
      <c r="BI165" s="67"/>
      <c r="BJ165" s="67"/>
      <c r="BK165" s="67"/>
      <c r="BL165" s="67"/>
      <c r="BM165" s="67"/>
      <c r="BN165" s="67"/>
      <c r="BO165" s="67"/>
      <c r="BP165" s="67"/>
      <c r="BQ165" s="67"/>
      <c r="BR165" s="67"/>
      <c r="BS165" s="67"/>
      <c r="BT165" s="67"/>
      <c r="BU165" s="67"/>
    </row>
    <row r="166" spans="15:73" x14ac:dyDescent="0.2"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  <c r="BD166" s="67"/>
      <c r="BE166" s="67"/>
      <c r="BF166" s="67"/>
      <c r="BG166" s="67"/>
      <c r="BH166" s="67"/>
      <c r="BI166" s="67"/>
      <c r="BJ166" s="67"/>
      <c r="BK166" s="67"/>
      <c r="BL166" s="67"/>
      <c r="BM166" s="67"/>
      <c r="BN166" s="67"/>
      <c r="BO166" s="67"/>
      <c r="BP166" s="67"/>
      <c r="BQ166" s="67"/>
      <c r="BR166" s="67"/>
      <c r="BS166" s="67"/>
      <c r="BT166" s="67"/>
      <c r="BU166" s="67"/>
    </row>
    <row r="167" spans="15:73" x14ac:dyDescent="0.2"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  <c r="BD167" s="67"/>
      <c r="BE167" s="67"/>
      <c r="BF167" s="67"/>
      <c r="BG167" s="67"/>
      <c r="BH167" s="67"/>
      <c r="BI167" s="67"/>
      <c r="BJ167" s="67"/>
      <c r="BK167" s="67"/>
      <c r="BL167" s="67"/>
      <c r="BM167" s="67"/>
      <c r="BN167" s="67"/>
      <c r="BO167" s="67"/>
      <c r="BP167" s="67"/>
      <c r="BQ167" s="67"/>
      <c r="BR167" s="67"/>
      <c r="BS167" s="67"/>
      <c r="BT167" s="67"/>
      <c r="BU167" s="67"/>
    </row>
    <row r="168" spans="15:73" x14ac:dyDescent="0.2"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  <c r="BL168" s="67"/>
      <c r="BM168" s="67"/>
      <c r="BN168" s="67"/>
      <c r="BO168" s="67"/>
      <c r="BP168" s="67"/>
      <c r="BQ168" s="67"/>
      <c r="BR168" s="67"/>
      <c r="BS168" s="67"/>
      <c r="BT168" s="67"/>
      <c r="BU168" s="67"/>
    </row>
    <row r="169" spans="15:73" x14ac:dyDescent="0.2"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  <c r="BD169" s="67"/>
      <c r="BE169" s="67"/>
      <c r="BF169" s="67"/>
      <c r="BG169" s="67"/>
      <c r="BH169" s="67"/>
      <c r="BI169" s="67"/>
      <c r="BJ169" s="67"/>
      <c r="BK169" s="67"/>
      <c r="BL169" s="67"/>
      <c r="BM169" s="67"/>
      <c r="BN169" s="67"/>
      <c r="BO169" s="67"/>
      <c r="BP169" s="67"/>
      <c r="BQ169" s="67"/>
      <c r="BR169" s="67"/>
      <c r="BS169" s="67"/>
      <c r="BT169" s="67"/>
      <c r="BU169" s="67"/>
    </row>
    <row r="170" spans="15:73" x14ac:dyDescent="0.2"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  <c r="BD170" s="67"/>
      <c r="BE170" s="67"/>
      <c r="BF170" s="67"/>
      <c r="BG170" s="67"/>
      <c r="BH170" s="67"/>
      <c r="BI170" s="67"/>
      <c r="BJ170" s="67"/>
      <c r="BK170" s="67"/>
      <c r="BL170" s="67"/>
      <c r="BM170" s="67"/>
      <c r="BN170" s="67"/>
      <c r="BO170" s="67"/>
      <c r="BP170" s="67"/>
      <c r="BQ170" s="67"/>
      <c r="BR170" s="67"/>
      <c r="BS170" s="67"/>
      <c r="BT170" s="67"/>
      <c r="BU170" s="67"/>
    </row>
    <row r="171" spans="15:73" x14ac:dyDescent="0.2"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  <c r="BD171" s="67"/>
      <c r="BE171" s="67"/>
      <c r="BF171" s="67"/>
      <c r="BG171" s="67"/>
      <c r="BH171" s="67"/>
      <c r="BI171" s="67"/>
      <c r="BJ171" s="67"/>
      <c r="BK171" s="67"/>
      <c r="BL171" s="67"/>
      <c r="BM171" s="67"/>
      <c r="BN171" s="67"/>
      <c r="BO171" s="67"/>
      <c r="BP171" s="67"/>
      <c r="BQ171" s="67"/>
      <c r="BR171" s="67"/>
      <c r="BS171" s="67"/>
      <c r="BT171" s="67"/>
      <c r="BU171" s="67"/>
    </row>
    <row r="172" spans="15:73" x14ac:dyDescent="0.2"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67"/>
      <c r="BR172" s="67"/>
      <c r="BS172" s="67"/>
      <c r="BT172" s="67"/>
      <c r="BU172" s="67"/>
    </row>
    <row r="173" spans="15:73" x14ac:dyDescent="0.2"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7"/>
      <c r="BL173" s="67"/>
      <c r="BM173" s="67"/>
      <c r="BN173" s="67"/>
      <c r="BO173" s="67"/>
      <c r="BP173" s="67"/>
      <c r="BQ173" s="67"/>
      <c r="BR173" s="67"/>
      <c r="BS173" s="67"/>
      <c r="BT173" s="67"/>
      <c r="BU173" s="67"/>
    </row>
    <row r="174" spans="15:73" x14ac:dyDescent="0.2"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  <c r="BD174" s="67"/>
      <c r="BE174" s="67"/>
      <c r="BF174" s="67"/>
      <c r="BG174" s="67"/>
      <c r="BH174" s="67"/>
      <c r="BI174" s="67"/>
      <c r="BJ174" s="67"/>
      <c r="BK174" s="67"/>
      <c r="BL174" s="67"/>
      <c r="BM174" s="67"/>
      <c r="BN174" s="67"/>
      <c r="BO174" s="67"/>
      <c r="BP174" s="67"/>
      <c r="BQ174" s="67"/>
      <c r="BR174" s="67"/>
      <c r="BS174" s="67"/>
      <c r="BT174" s="67"/>
      <c r="BU174" s="67"/>
    </row>
    <row r="175" spans="15:73" x14ac:dyDescent="0.2"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  <c r="BD175" s="67"/>
      <c r="BE175" s="67"/>
      <c r="BF175" s="67"/>
      <c r="BG175" s="67"/>
      <c r="BH175" s="67"/>
      <c r="BI175" s="67"/>
      <c r="BJ175" s="67"/>
      <c r="BK175" s="67"/>
      <c r="BL175" s="67"/>
      <c r="BM175" s="67"/>
      <c r="BN175" s="67"/>
      <c r="BO175" s="67"/>
      <c r="BP175" s="67"/>
      <c r="BQ175" s="67"/>
      <c r="BR175" s="67"/>
      <c r="BS175" s="67"/>
      <c r="BT175" s="67"/>
      <c r="BU175" s="67"/>
    </row>
    <row r="176" spans="15:73" x14ac:dyDescent="0.2"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  <c r="BD176" s="67"/>
      <c r="BE176" s="67"/>
      <c r="BF176" s="67"/>
      <c r="BG176" s="67"/>
      <c r="BH176" s="67"/>
      <c r="BI176" s="67"/>
      <c r="BJ176" s="67"/>
      <c r="BK176" s="67"/>
      <c r="BL176" s="67"/>
      <c r="BM176" s="67"/>
      <c r="BN176" s="67"/>
      <c r="BO176" s="67"/>
      <c r="BP176" s="67"/>
      <c r="BQ176" s="67"/>
      <c r="BR176" s="67"/>
      <c r="BS176" s="67"/>
      <c r="BT176" s="67"/>
      <c r="BU176" s="67"/>
    </row>
    <row r="177" spans="15:73" x14ac:dyDescent="0.2"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  <c r="BD177" s="67"/>
      <c r="BE177" s="67"/>
      <c r="BF177" s="67"/>
      <c r="BG177" s="67"/>
      <c r="BH177" s="67"/>
      <c r="BI177" s="67"/>
      <c r="BJ177" s="67"/>
      <c r="BK177" s="67"/>
      <c r="BL177" s="67"/>
      <c r="BM177" s="67"/>
      <c r="BN177" s="67"/>
      <c r="BO177" s="67"/>
      <c r="BP177" s="67"/>
      <c r="BQ177" s="67"/>
      <c r="BR177" s="67"/>
      <c r="BS177" s="67"/>
      <c r="BT177" s="67"/>
      <c r="BU177" s="67"/>
    </row>
    <row r="178" spans="15:73" x14ac:dyDescent="0.2"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  <c r="BD178" s="67"/>
      <c r="BE178" s="67"/>
      <c r="BF178" s="67"/>
      <c r="BG178" s="67"/>
      <c r="BH178" s="67"/>
      <c r="BI178" s="67"/>
      <c r="BJ178" s="67"/>
      <c r="BK178" s="67"/>
      <c r="BL178" s="67"/>
      <c r="BM178" s="67"/>
      <c r="BN178" s="67"/>
      <c r="BO178" s="67"/>
      <c r="BP178" s="67"/>
      <c r="BQ178" s="67"/>
      <c r="BR178" s="67"/>
      <c r="BS178" s="67"/>
      <c r="BT178" s="67"/>
      <c r="BU178" s="67"/>
    </row>
    <row r="179" spans="15:73" x14ac:dyDescent="0.2"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  <c r="BD179" s="67"/>
      <c r="BE179" s="67"/>
      <c r="BF179" s="67"/>
      <c r="BG179" s="67"/>
      <c r="BH179" s="67"/>
      <c r="BI179" s="67"/>
      <c r="BJ179" s="67"/>
      <c r="BK179" s="67"/>
      <c r="BL179" s="67"/>
      <c r="BM179" s="67"/>
      <c r="BN179" s="67"/>
      <c r="BO179" s="67"/>
      <c r="BP179" s="67"/>
      <c r="BQ179" s="67"/>
      <c r="BR179" s="67"/>
      <c r="BS179" s="67"/>
      <c r="BT179" s="67"/>
      <c r="BU179" s="67"/>
    </row>
    <row r="180" spans="15:73" x14ac:dyDescent="0.2"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67"/>
      <c r="BM180" s="67"/>
      <c r="BN180" s="67"/>
      <c r="BO180" s="67"/>
      <c r="BP180" s="67"/>
      <c r="BQ180" s="67"/>
      <c r="BR180" s="67"/>
      <c r="BS180" s="67"/>
      <c r="BT180" s="67"/>
      <c r="BU180" s="67"/>
    </row>
    <row r="181" spans="15:73" x14ac:dyDescent="0.2"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  <c r="BD181" s="67"/>
      <c r="BE181" s="67"/>
      <c r="BF181" s="67"/>
      <c r="BG181" s="67"/>
      <c r="BH181" s="67"/>
      <c r="BI181" s="67"/>
      <c r="BJ181" s="67"/>
      <c r="BK181" s="67"/>
      <c r="BL181" s="67"/>
      <c r="BM181" s="67"/>
      <c r="BN181" s="67"/>
      <c r="BO181" s="67"/>
      <c r="BP181" s="67"/>
      <c r="BQ181" s="67"/>
      <c r="BR181" s="67"/>
      <c r="BS181" s="67"/>
      <c r="BT181" s="67"/>
      <c r="BU181" s="67"/>
    </row>
    <row r="182" spans="15:73" x14ac:dyDescent="0.2"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67"/>
      <c r="BM182" s="67"/>
      <c r="BN182" s="67"/>
      <c r="BO182" s="67"/>
      <c r="BP182" s="67"/>
      <c r="BQ182" s="67"/>
      <c r="BR182" s="67"/>
      <c r="BS182" s="67"/>
      <c r="BT182" s="67"/>
      <c r="BU182" s="67"/>
    </row>
    <row r="183" spans="15:73" x14ac:dyDescent="0.2"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  <c r="BD183" s="67"/>
      <c r="BE183" s="67"/>
      <c r="BF183" s="67"/>
      <c r="BG183" s="67"/>
      <c r="BH183" s="67"/>
      <c r="BI183" s="67"/>
      <c r="BJ183" s="67"/>
      <c r="BK183" s="67"/>
      <c r="BL183" s="67"/>
      <c r="BM183" s="67"/>
      <c r="BN183" s="67"/>
      <c r="BO183" s="67"/>
      <c r="BP183" s="67"/>
      <c r="BQ183" s="67"/>
      <c r="BR183" s="67"/>
      <c r="BS183" s="67"/>
      <c r="BT183" s="67"/>
      <c r="BU183" s="67"/>
    </row>
    <row r="184" spans="15:73" x14ac:dyDescent="0.2"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  <c r="BJ184" s="67"/>
      <c r="BK184" s="67"/>
      <c r="BL184" s="67"/>
      <c r="BM184" s="67"/>
      <c r="BN184" s="67"/>
      <c r="BO184" s="67"/>
      <c r="BP184" s="67"/>
      <c r="BQ184" s="67"/>
      <c r="BR184" s="67"/>
      <c r="BS184" s="67"/>
      <c r="BT184" s="67"/>
      <c r="BU184" s="67"/>
    </row>
    <row r="185" spans="15:73" x14ac:dyDescent="0.2"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  <c r="BJ185" s="67"/>
      <c r="BK185" s="67"/>
      <c r="BL185" s="67"/>
      <c r="BM185" s="67"/>
      <c r="BN185" s="67"/>
      <c r="BO185" s="67"/>
      <c r="BP185" s="67"/>
      <c r="BQ185" s="67"/>
      <c r="BR185" s="67"/>
      <c r="BS185" s="67"/>
      <c r="BT185" s="67"/>
      <c r="BU185" s="67"/>
    </row>
    <row r="186" spans="15:73" x14ac:dyDescent="0.2"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  <c r="BJ186" s="67"/>
      <c r="BK186" s="67"/>
      <c r="BL186" s="67"/>
      <c r="BM186" s="67"/>
      <c r="BN186" s="67"/>
      <c r="BO186" s="67"/>
      <c r="BP186" s="67"/>
      <c r="BQ186" s="67"/>
      <c r="BR186" s="67"/>
      <c r="BS186" s="67"/>
      <c r="BT186" s="67"/>
      <c r="BU186" s="67"/>
    </row>
    <row r="187" spans="15:73" x14ac:dyDescent="0.2"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  <c r="BB187" s="67"/>
      <c r="BC187" s="67"/>
      <c r="BD187" s="67"/>
      <c r="BE187" s="67"/>
      <c r="BF187" s="67"/>
      <c r="BG187" s="67"/>
      <c r="BH187" s="67"/>
      <c r="BI187" s="67"/>
      <c r="BJ187" s="67"/>
      <c r="BK187" s="67"/>
      <c r="BL187" s="67"/>
      <c r="BM187" s="67"/>
      <c r="BN187" s="67"/>
      <c r="BO187" s="67"/>
      <c r="BP187" s="67"/>
      <c r="BQ187" s="67"/>
      <c r="BR187" s="67"/>
      <c r="BS187" s="67"/>
      <c r="BT187" s="67"/>
      <c r="BU187" s="67"/>
    </row>
    <row r="188" spans="15:73" x14ac:dyDescent="0.2"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  <c r="AW188" s="67"/>
      <c r="AX188" s="67"/>
      <c r="AY188" s="67"/>
      <c r="AZ188" s="67"/>
      <c r="BA188" s="67"/>
      <c r="BB188" s="67"/>
      <c r="BC188" s="67"/>
      <c r="BD188" s="67"/>
      <c r="BE188" s="67"/>
      <c r="BF188" s="67"/>
      <c r="BG188" s="67"/>
      <c r="BH188" s="67"/>
      <c r="BI188" s="67"/>
      <c r="BJ188" s="67"/>
      <c r="BK188" s="67"/>
      <c r="BL188" s="67"/>
      <c r="BM188" s="67"/>
      <c r="BN188" s="67"/>
      <c r="BO188" s="67"/>
      <c r="BP188" s="67"/>
      <c r="BQ188" s="67"/>
      <c r="BR188" s="67"/>
      <c r="BS188" s="67"/>
      <c r="BT188" s="67"/>
      <c r="BU188" s="67"/>
    </row>
    <row r="189" spans="15:73" x14ac:dyDescent="0.2"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  <c r="BB189" s="67"/>
      <c r="BC189" s="67"/>
      <c r="BD189" s="67"/>
      <c r="BE189" s="67"/>
      <c r="BF189" s="67"/>
      <c r="BG189" s="67"/>
      <c r="BH189" s="67"/>
      <c r="BI189" s="67"/>
      <c r="BJ189" s="67"/>
      <c r="BK189" s="67"/>
      <c r="BL189" s="67"/>
      <c r="BM189" s="67"/>
      <c r="BN189" s="67"/>
      <c r="BO189" s="67"/>
      <c r="BP189" s="67"/>
      <c r="BQ189" s="67"/>
      <c r="BR189" s="67"/>
      <c r="BS189" s="67"/>
      <c r="BT189" s="67"/>
      <c r="BU189" s="67"/>
    </row>
    <row r="190" spans="15:73" x14ac:dyDescent="0.2"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67"/>
      <c r="BB190" s="67"/>
      <c r="BC190" s="67"/>
      <c r="BD190" s="67"/>
      <c r="BE190" s="67"/>
      <c r="BF190" s="67"/>
      <c r="BG190" s="67"/>
      <c r="BH190" s="67"/>
      <c r="BI190" s="67"/>
      <c r="BJ190" s="67"/>
      <c r="BK190" s="67"/>
      <c r="BL190" s="67"/>
      <c r="BM190" s="67"/>
      <c r="BN190" s="67"/>
      <c r="BO190" s="67"/>
      <c r="BP190" s="67"/>
      <c r="BQ190" s="67"/>
      <c r="BR190" s="67"/>
      <c r="BS190" s="67"/>
      <c r="BT190" s="67"/>
      <c r="BU190" s="67"/>
    </row>
    <row r="191" spans="15:73" x14ac:dyDescent="0.2"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  <c r="BD191" s="67"/>
      <c r="BE191" s="67"/>
      <c r="BF191" s="67"/>
      <c r="BG191" s="67"/>
      <c r="BH191" s="67"/>
      <c r="BI191" s="67"/>
      <c r="BJ191" s="67"/>
      <c r="BK191" s="67"/>
      <c r="BL191" s="67"/>
      <c r="BM191" s="67"/>
      <c r="BN191" s="67"/>
      <c r="BO191" s="67"/>
      <c r="BP191" s="67"/>
      <c r="BQ191" s="67"/>
      <c r="BR191" s="67"/>
      <c r="BS191" s="67"/>
      <c r="BT191" s="67"/>
      <c r="BU191" s="67"/>
    </row>
    <row r="192" spans="15:73" x14ac:dyDescent="0.2"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7"/>
      <c r="BD192" s="67"/>
      <c r="BE192" s="67"/>
      <c r="BF192" s="67"/>
      <c r="BG192" s="67"/>
      <c r="BH192" s="67"/>
      <c r="BI192" s="67"/>
      <c r="BJ192" s="67"/>
      <c r="BK192" s="67"/>
      <c r="BL192" s="67"/>
      <c r="BM192" s="67"/>
      <c r="BN192" s="67"/>
      <c r="BO192" s="67"/>
      <c r="BP192" s="67"/>
      <c r="BQ192" s="67"/>
      <c r="BR192" s="67"/>
      <c r="BS192" s="67"/>
      <c r="BT192" s="67"/>
      <c r="BU192" s="67"/>
    </row>
    <row r="193" spans="15:73" x14ac:dyDescent="0.2"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  <c r="BD193" s="67"/>
      <c r="BE193" s="67"/>
      <c r="BF193" s="67"/>
      <c r="BG193" s="67"/>
      <c r="BH193" s="67"/>
      <c r="BI193" s="67"/>
      <c r="BJ193" s="67"/>
      <c r="BK193" s="67"/>
      <c r="BL193" s="67"/>
      <c r="BM193" s="67"/>
      <c r="BN193" s="67"/>
      <c r="BO193" s="67"/>
      <c r="BP193" s="67"/>
      <c r="BQ193" s="67"/>
      <c r="BR193" s="67"/>
      <c r="BS193" s="67"/>
      <c r="BT193" s="67"/>
      <c r="BU193" s="67"/>
    </row>
    <row r="194" spans="15:73" x14ac:dyDescent="0.2"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  <c r="BD194" s="67"/>
      <c r="BE194" s="67"/>
      <c r="BF194" s="67"/>
      <c r="BG194" s="67"/>
      <c r="BH194" s="67"/>
      <c r="BI194" s="67"/>
      <c r="BJ194" s="67"/>
      <c r="BK194" s="67"/>
      <c r="BL194" s="67"/>
      <c r="BM194" s="67"/>
      <c r="BN194" s="67"/>
      <c r="BO194" s="67"/>
      <c r="BP194" s="67"/>
      <c r="BQ194" s="67"/>
      <c r="BR194" s="67"/>
      <c r="BS194" s="67"/>
      <c r="BT194" s="67"/>
      <c r="BU194" s="67"/>
    </row>
    <row r="195" spans="15:73" x14ac:dyDescent="0.2"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  <c r="BF195" s="67"/>
      <c r="BG195" s="67"/>
      <c r="BH195" s="67"/>
      <c r="BI195" s="67"/>
      <c r="BJ195" s="67"/>
      <c r="BK195" s="67"/>
      <c r="BL195" s="67"/>
      <c r="BM195" s="67"/>
      <c r="BN195" s="67"/>
      <c r="BO195" s="67"/>
      <c r="BP195" s="67"/>
      <c r="BQ195" s="67"/>
      <c r="BR195" s="67"/>
      <c r="BS195" s="67"/>
      <c r="BT195" s="67"/>
      <c r="BU195" s="67"/>
    </row>
    <row r="196" spans="15:73" x14ac:dyDescent="0.2"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67"/>
      <c r="BR196" s="67"/>
      <c r="BS196" s="67"/>
      <c r="BT196" s="67"/>
      <c r="BU196" s="67"/>
    </row>
    <row r="197" spans="15:73" x14ac:dyDescent="0.2"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67"/>
      <c r="BR197" s="67"/>
      <c r="BS197" s="67"/>
      <c r="BT197" s="67"/>
      <c r="BU197" s="67"/>
    </row>
    <row r="198" spans="15:73" x14ac:dyDescent="0.2"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67"/>
      <c r="BM198" s="67"/>
      <c r="BN198" s="67"/>
      <c r="BO198" s="67"/>
      <c r="BP198" s="67"/>
      <c r="BQ198" s="67"/>
      <c r="BR198" s="67"/>
      <c r="BS198" s="67"/>
      <c r="BT198" s="67"/>
      <c r="BU198" s="67"/>
    </row>
    <row r="199" spans="15:73" x14ac:dyDescent="0.2"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  <c r="BD199" s="67"/>
      <c r="BE199" s="67"/>
      <c r="BF199" s="67"/>
      <c r="BG199" s="67"/>
      <c r="BH199" s="67"/>
      <c r="BI199" s="67"/>
      <c r="BJ199" s="67"/>
      <c r="BK199" s="67"/>
      <c r="BL199" s="67"/>
      <c r="BM199" s="67"/>
      <c r="BN199" s="67"/>
      <c r="BO199" s="67"/>
      <c r="BP199" s="67"/>
      <c r="BQ199" s="67"/>
      <c r="BR199" s="67"/>
      <c r="BS199" s="67"/>
      <c r="BT199" s="67"/>
      <c r="BU199" s="67"/>
    </row>
    <row r="200" spans="15:73" x14ac:dyDescent="0.2"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  <c r="BK200" s="67"/>
      <c r="BL200" s="67"/>
      <c r="BM200" s="67"/>
      <c r="BN200" s="67"/>
      <c r="BO200" s="67"/>
      <c r="BP200" s="67"/>
      <c r="BQ200" s="67"/>
      <c r="BR200" s="67"/>
      <c r="BS200" s="67"/>
      <c r="BT200" s="67"/>
      <c r="BU200" s="67"/>
    </row>
    <row r="201" spans="15:73" x14ac:dyDescent="0.2"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  <c r="BB201" s="67"/>
      <c r="BC201" s="67"/>
      <c r="BD201" s="67"/>
      <c r="BE201" s="67"/>
      <c r="BF201" s="67"/>
      <c r="BG201" s="67"/>
      <c r="BH201" s="67"/>
      <c r="BI201" s="67"/>
      <c r="BJ201" s="67"/>
      <c r="BK201" s="67"/>
      <c r="BL201" s="67"/>
      <c r="BM201" s="67"/>
      <c r="BN201" s="67"/>
      <c r="BO201" s="67"/>
      <c r="BP201" s="67"/>
      <c r="BQ201" s="67"/>
      <c r="BR201" s="67"/>
      <c r="BS201" s="67"/>
      <c r="BT201" s="67"/>
      <c r="BU201" s="67"/>
    </row>
    <row r="202" spans="15:73" x14ac:dyDescent="0.2"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J202" s="67"/>
      <c r="BK202" s="67"/>
      <c r="BL202" s="67"/>
      <c r="BM202" s="67"/>
      <c r="BN202" s="67"/>
      <c r="BO202" s="67"/>
      <c r="BP202" s="67"/>
      <c r="BQ202" s="67"/>
      <c r="BR202" s="67"/>
      <c r="BS202" s="67"/>
      <c r="BT202" s="67"/>
      <c r="BU202" s="67"/>
    </row>
    <row r="203" spans="15:73" x14ac:dyDescent="0.2"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67"/>
      <c r="BA203" s="67"/>
      <c r="BB203" s="67"/>
      <c r="BC203" s="67"/>
      <c r="BD203" s="67"/>
      <c r="BE203" s="67"/>
      <c r="BF203" s="67"/>
      <c r="BG203" s="67"/>
      <c r="BH203" s="67"/>
      <c r="BI203" s="67"/>
      <c r="BJ203" s="67"/>
      <c r="BK203" s="67"/>
      <c r="BL203" s="67"/>
      <c r="BM203" s="67"/>
      <c r="BN203" s="67"/>
      <c r="BO203" s="67"/>
      <c r="BP203" s="67"/>
      <c r="BQ203" s="67"/>
      <c r="BR203" s="67"/>
      <c r="BS203" s="67"/>
      <c r="BT203" s="67"/>
      <c r="BU203" s="67"/>
    </row>
    <row r="204" spans="15:73" x14ac:dyDescent="0.2"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67"/>
      <c r="BA204" s="67"/>
      <c r="BB204" s="67"/>
      <c r="BC204" s="67"/>
      <c r="BD204" s="67"/>
      <c r="BE204" s="67"/>
      <c r="BF204" s="67"/>
      <c r="BG204" s="67"/>
      <c r="BH204" s="67"/>
      <c r="BI204" s="67"/>
      <c r="BJ204" s="67"/>
      <c r="BK204" s="67"/>
      <c r="BL204" s="67"/>
      <c r="BM204" s="67"/>
      <c r="BN204" s="67"/>
      <c r="BO204" s="67"/>
      <c r="BP204" s="67"/>
      <c r="BQ204" s="67"/>
      <c r="BR204" s="67"/>
      <c r="BS204" s="67"/>
      <c r="BT204" s="67"/>
      <c r="BU204" s="67"/>
    </row>
    <row r="205" spans="15:73" x14ac:dyDescent="0.2"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  <c r="BO205" s="67"/>
      <c r="BP205" s="67"/>
      <c r="BQ205" s="67"/>
      <c r="BR205" s="67"/>
      <c r="BS205" s="67"/>
      <c r="BT205" s="67"/>
      <c r="BU205" s="67"/>
    </row>
    <row r="206" spans="15:73" x14ac:dyDescent="0.2"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  <c r="AW206" s="67"/>
      <c r="AX206" s="67"/>
      <c r="AY206" s="67"/>
      <c r="AZ206" s="67"/>
      <c r="BA206" s="67"/>
      <c r="BB206" s="67"/>
      <c r="BC206" s="67"/>
      <c r="BD206" s="67"/>
      <c r="BE206" s="67"/>
      <c r="BF206" s="67"/>
      <c r="BG206" s="67"/>
      <c r="BH206" s="67"/>
      <c r="BI206" s="67"/>
      <c r="BJ206" s="67"/>
      <c r="BK206" s="67"/>
      <c r="BL206" s="67"/>
      <c r="BM206" s="67"/>
      <c r="BN206" s="67"/>
      <c r="BO206" s="67"/>
      <c r="BP206" s="67"/>
      <c r="BQ206" s="67"/>
      <c r="BR206" s="67"/>
      <c r="BS206" s="67"/>
      <c r="BT206" s="67"/>
      <c r="BU206" s="67"/>
    </row>
    <row r="207" spans="15:73" x14ac:dyDescent="0.2"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  <c r="BM207" s="67"/>
      <c r="BN207" s="67"/>
      <c r="BO207" s="67"/>
      <c r="BP207" s="67"/>
      <c r="BQ207" s="67"/>
      <c r="BR207" s="67"/>
      <c r="BS207" s="67"/>
      <c r="BT207" s="67"/>
      <c r="BU207" s="67"/>
    </row>
    <row r="208" spans="15:73" x14ac:dyDescent="0.2"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  <c r="BM208" s="67"/>
      <c r="BN208" s="67"/>
      <c r="BO208" s="67"/>
      <c r="BP208" s="67"/>
      <c r="BQ208" s="67"/>
      <c r="BR208" s="67"/>
      <c r="BS208" s="67"/>
      <c r="BT208" s="67"/>
      <c r="BU208" s="67"/>
    </row>
    <row r="209" spans="15:73" x14ac:dyDescent="0.2"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  <c r="AV209" s="67"/>
      <c r="AW209" s="67"/>
      <c r="AX209" s="67"/>
      <c r="AY209" s="67"/>
      <c r="AZ209" s="67"/>
      <c r="BA209" s="67"/>
      <c r="BB209" s="67"/>
      <c r="BC209" s="67"/>
      <c r="BD209" s="67"/>
      <c r="BE209" s="67"/>
      <c r="BF209" s="67"/>
      <c r="BG209" s="67"/>
      <c r="BH209" s="67"/>
      <c r="BI209" s="67"/>
      <c r="BJ209" s="67"/>
      <c r="BK209" s="67"/>
      <c r="BL209" s="67"/>
      <c r="BM209" s="67"/>
      <c r="BN209" s="67"/>
      <c r="BO209" s="67"/>
      <c r="BP209" s="67"/>
      <c r="BQ209" s="67"/>
      <c r="BR209" s="67"/>
      <c r="BS209" s="67"/>
      <c r="BT209" s="67"/>
      <c r="BU209" s="67"/>
    </row>
    <row r="210" spans="15:73" x14ac:dyDescent="0.2"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67"/>
      <c r="BA210" s="67"/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</row>
    <row r="211" spans="15:73" x14ac:dyDescent="0.2"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67"/>
      <c r="BA211" s="67"/>
      <c r="BB211" s="67"/>
      <c r="BC211" s="67"/>
      <c r="BD211" s="67"/>
      <c r="BE211" s="67"/>
      <c r="BF211" s="67"/>
      <c r="BG211" s="67"/>
      <c r="BH211" s="67"/>
      <c r="BI211" s="67"/>
      <c r="BJ211" s="67"/>
      <c r="BK211" s="67"/>
      <c r="BL211" s="67"/>
      <c r="BM211" s="67"/>
      <c r="BN211" s="67"/>
      <c r="BO211" s="67"/>
      <c r="BP211" s="67"/>
      <c r="BQ211" s="67"/>
      <c r="BR211" s="67"/>
      <c r="BS211" s="67"/>
      <c r="BT211" s="67"/>
      <c r="BU211" s="67"/>
    </row>
    <row r="212" spans="15:73" x14ac:dyDescent="0.2"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  <c r="AW212" s="67"/>
      <c r="AX212" s="67"/>
      <c r="AY212" s="67"/>
      <c r="AZ212" s="67"/>
      <c r="BA212" s="67"/>
      <c r="BB212" s="67"/>
      <c r="BC212" s="67"/>
      <c r="BD212" s="67"/>
      <c r="BE212" s="67"/>
      <c r="BF212" s="67"/>
      <c r="BG212" s="67"/>
      <c r="BH212" s="67"/>
      <c r="BI212" s="67"/>
      <c r="BJ212" s="67"/>
      <c r="BK212" s="67"/>
      <c r="BL212" s="67"/>
      <c r="BM212" s="67"/>
      <c r="BN212" s="67"/>
      <c r="BO212" s="67"/>
      <c r="BP212" s="67"/>
      <c r="BQ212" s="67"/>
      <c r="BR212" s="67"/>
      <c r="BS212" s="67"/>
      <c r="BT212" s="67"/>
      <c r="BU212" s="67"/>
    </row>
    <row r="213" spans="15:73" x14ac:dyDescent="0.2"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  <c r="BB213" s="67"/>
      <c r="BC213" s="67"/>
      <c r="BD213" s="67"/>
      <c r="BE213" s="67"/>
      <c r="BF213" s="67"/>
      <c r="BG213" s="67"/>
      <c r="BH213" s="67"/>
      <c r="BI213" s="67"/>
      <c r="BJ213" s="67"/>
      <c r="BK213" s="67"/>
      <c r="BL213" s="67"/>
      <c r="BM213" s="67"/>
      <c r="BN213" s="67"/>
      <c r="BO213" s="67"/>
      <c r="BP213" s="67"/>
      <c r="BQ213" s="67"/>
      <c r="BR213" s="67"/>
      <c r="BS213" s="67"/>
      <c r="BT213" s="67"/>
      <c r="BU213" s="67"/>
    </row>
    <row r="214" spans="15:73" x14ac:dyDescent="0.2"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J214" s="67"/>
      <c r="BK214" s="67"/>
      <c r="BL214" s="67"/>
      <c r="BM214" s="67"/>
      <c r="BN214" s="67"/>
      <c r="BO214" s="67"/>
      <c r="BP214" s="67"/>
      <c r="BQ214" s="67"/>
      <c r="BR214" s="67"/>
      <c r="BS214" s="67"/>
      <c r="BT214" s="67"/>
      <c r="BU214" s="67"/>
    </row>
    <row r="215" spans="15:73" x14ac:dyDescent="0.2"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  <c r="AV215" s="67"/>
      <c r="AW215" s="67"/>
      <c r="AX215" s="67"/>
      <c r="AY215" s="67"/>
      <c r="AZ215" s="67"/>
      <c r="BA215" s="67"/>
      <c r="BB215" s="67"/>
      <c r="BC215" s="67"/>
      <c r="BD215" s="67"/>
      <c r="BE215" s="67"/>
      <c r="BF215" s="67"/>
      <c r="BG215" s="67"/>
      <c r="BH215" s="67"/>
      <c r="BI215" s="67"/>
      <c r="BJ215" s="67"/>
      <c r="BK215" s="67"/>
      <c r="BL215" s="67"/>
      <c r="BM215" s="67"/>
      <c r="BN215" s="67"/>
      <c r="BO215" s="67"/>
      <c r="BP215" s="67"/>
      <c r="BQ215" s="67"/>
      <c r="BR215" s="67"/>
      <c r="BS215" s="67"/>
      <c r="BT215" s="67"/>
      <c r="BU215" s="67"/>
    </row>
    <row r="216" spans="15:73" x14ac:dyDescent="0.2"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J216" s="67"/>
      <c r="BK216" s="67"/>
      <c r="BL216" s="67"/>
      <c r="BM216" s="67"/>
      <c r="BN216" s="67"/>
      <c r="BO216" s="67"/>
      <c r="BP216" s="67"/>
      <c r="BQ216" s="67"/>
      <c r="BR216" s="67"/>
      <c r="BS216" s="67"/>
      <c r="BT216" s="67"/>
      <c r="BU216" s="67"/>
    </row>
    <row r="217" spans="15:73" x14ac:dyDescent="0.2"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  <c r="AW217" s="67"/>
      <c r="AX217" s="67"/>
      <c r="AY217" s="67"/>
      <c r="AZ217" s="67"/>
      <c r="BA217" s="67"/>
      <c r="BB217" s="67"/>
      <c r="BC217" s="67"/>
      <c r="BD217" s="67"/>
      <c r="BE217" s="67"/>
      <c r="BF217" s="67"/>
      <c r="BG217" s="67"/>
      <c r="BH217" s="67"/>
      <c r="BI217" s="67"/>
      <c r="BJ217" s="67"/>
      <c r="BK217" s="67"/>
      <c r="BL217" s="67"/>
      <c r="BM217" s="67"/>
      <c r="BN217" s="67"/>
      <c r="BO217" s="67"/>
      <c r="BP217" s="67"/>
      <c r="BQ217" s="67"/>
      <c r="BR217" s="67"/>
      <c r="BS217" s="67"/>
      <c r="BT217" s="67"/>
      <c r="BU217" s="67"/>
    </row>
    <row r="218" spans="15:73" x14ac:dyDescent="0.2"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  <c r="BK218" s="67"/>
      <c r="BL218" s="67"/>
      <c r="BM218" s="67"/>
      <c r="BN218" s="67"/>
      <c r="BO218" s="67"/>
      <c r="BP218" s="67"/>
      <c r="BQ218" s="67"/>
      <c r="BR218" s="67"/>
      <c r="BS218" s="67"/>
      <c r="BT218" s="67"/>
      <c r="BU218" s="67"/>
    </row>
    <row r="219" spans="15:73" x14ac:dyDescent="0.2"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  <c r="BK219" s="67"/>
      <c r="BL219" s="67"/>
      <c r="BM219" s="67"/>
      <c r="BN219" s="67"/>
      <c r="BO219" s="67"/>
      <c r="BP219" s="67"/>
      <c r="BQ219" s="67"/>
      <c r="BR219" s="67"/>
      <c r="BS219" s="67"/>
      <c r="BT219" s="67"/>
      <c r="BU219" s="67"/>
    </row>
    <row r="220" spans="15:73" x14ac:dyDescent="0.2"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  <c r="BK220" s="67"/>
      <c r="BL220" s="67"/>
      <c r="BM220" s="67"/>
      <c r="BN220" s="67"/>
      <c r="BO220" s="67"/>
      <c r="BP220" s="67"/>
      <c r="BQ220" s="67"/>
      <c r="BR220" s="67"/>
      <c r="BS220" s="67"/>
      <c r="BT220" s="67"/>
      <c r="BU220" s="67"/>
    </row>
    <row r="221" spans="15:73" x14ac:dyDescent="0.2"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  <c r="AW221" s="67"/>
      <c r="AX221" s="67"/>
      <c r="AY221" s="67"/>
      <c r="AZ221" s="67"/>
      <c r="BA221" s="67"/>
      <c r="BB221" s="67"/>
      <c r="BC221" s="67"/>
      <c r="BD221" s="67"/>
      <c r="BE221" s="67"/>
      <c r="BF221" s="67"/>
      <c r="BG221" s="67"/>
      <c r="BH221" s="67"/>
      <c r="BI221" s="67"/>
      <c r="BJ221" s="67"/>
      <c r="BK221" s="67"/>
      <c r="BL221" s="67"/>
      <c r="BM221" s="67"/>
      <c r="BN221" s="67"/>
      <c r="BO221" s="67"/>
      <c r="BP221" s="67"/>
      <c r="BQ221" s="67"/>
      <c r="BR221" s="67"/>
      <c r="BS221" s="67"/>
      <c r="BT221" s="67"/>
      <c r="BU221" s="67"/>
    </row>
    <row r="222" spans="15:73" x14ac:dyDescent="0.2"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67"/>
      <c r="BD222" s="67"/>
      <c r="BE222" s="67"/>
      <c r="BF222" s="67"/>
      <c r="BG222" s="67"/>
      <c r="BH222" s="67"/>
      <c r="BI222" s="67"/>
      <c r="BJ222" s="67"/>
      <c r="BK222" s="67"/>
      <c r="BL222" s="67"/>
      <c r="BM222" s="67"/>
      <c r="BN222" s="67"/>
      <c r="BO222" s="67"/>
      <c r="BP222" s="67"/>
      <c r="BQ222" s="67"/>
      <c r="BR222" s="67"/>
      <c r="BS222" s="67"/>
      <c r="BT222" s="67"/>
      <c r="BU222" s="67"/>
    </row>
    <row r="223" spans="15:73" x14ac:dyDescent="0.2"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  <c r="BM223" s="67"/>
      <c r="BN223" s="67"/>
      <c r="BO223" s="67"/>
      <c r="BP223" s="67"/>
      <c r="BQ223" s="67"/>
      <c r="BR223" s="67"/>
      <c r="BS223" s="67"/>
      <c r="BT223" s="67"/>
      <c r="BU223" s="67"/>
    </row>
    <row r="224" spans="15:73" x14ac:dyDescent="0.2"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  <c r="BM224" s="67"/>
      <c r="BN224" s="67"/>
      <c r="BO224" s="67"/>
      <c r="BP224" s="67"/>
      <c r="BQ224" s="67"/>
      <c r="BR224" s="67"/>
      <c r="BS224" s="67"/>
      <c r="BT224" s="67"/>
      <c r="BU224" s="67"/>
    </row>
    <row r="225" spans="15:73" x14ac:dyDescent="0.2"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  <c r="BB225" s="67"/>
      <c r="BC225" s="67"/>
      <c r="BD225" s="67"/>
      <c r="BE225" s="67"/>
      <c r="BF225" s="67"/>
      <c r="BG225" s="67"/>
      <c r="BH225" s="67"/>
      <c r="BI225" s="67"/>
      <c r="BJ225" s="67"/>
      <c r="BK225" s="67"/>
      <c r="BL225" s="67"/>
      <c r="BM225" s="67"/>
      <c r="BN225" s="67"/>
      <c r="BO225" s="67"/>
      <c r="BP225" s="67"/>
      <c r="BQ225" s="67"/>
      <c r="BR225" s="67"/>
      <c r="BS225" s="67"/>
      <c r="BT225" s="67"/>
      <c r="BU225" s="67"/>
    </row>
    <row r="226" spans="15:73" x14ac:dyDescent="0.2"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  <c r="AV226" s="67"/>
      <c r="AW226" s="67"/>
      <c r="AX226" s="67"/>
      <c r="AY226" s="67"/>
      <c r="AZ226" s="67"/>
      <c r="BA226" s="67"/>
      <c r="BB226" s="67"/>
      <c r="BC226" s="67"/>
      <c r="BD226" s="67"/>
      <c r="BE226" s="67"/>
      <c r="BF226" s="67"/>
      <c r="BG226" s="67"/>
      <c r="BH226" s="67"/>
      <c r="BI226" s="67"/>
      <c r="BJ226" s="67"/>
      <c r="BK226" s="67"/>
      <c r="BL226" s="67"/>
      <c r="BM226" s="67"/>
      <c r="BN226" s="67"/>
      <c r="BO226" s="67"/>
      <c r="BP226" s="67"/>
      <c r="BQ226" s="67"/>
      <c r="BR226" s="67"/>
      <c r="BS226" s="67"/>
      <c r="BT226" s="67"/>
      <c r="BU226" s="67"/>
    </row>
    <row r="227" spans="15:73" x14ac:dyDescent="0.2"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  <c r="AV227" s="67"/>
      <c r="AW227" s="67"/>
      <c r="AX227" s="67"/>
      <c r="AY227" s="67"/>
      <c r="AZ227" s="67"/>
      <c r="BA227" s="67"/>
      <c r="BB227" s="67"/>
      <c r="BC227" s="67"/>
      <c r="BD227" s="67"/>
      <c r="BE227" s="67"/>
      <c r="BF227" s="67"/>
      <c r="BG227" s="67"/>
      <c r="BH227" s="67"/>
      <c r="BI227" s="67"/>
      <c r="BJ227" s="67"/>
      <c r="BK227" s="67"/>
      <c r="BL227" s="67"/>
      <c r="BM227" s="67"/>
      <c r="BN227" s="67"/>
      <c r="BO227" s="67"/>
      <c r="BP227" s="67"/>
      <c r="BQ227" s="67"/>
      <c r="BR227" s="67"/>
      <c r="BS227" s="67"/>
      <c r="BT227" s="67"/>
      <c r="BU227" s="67"/>
    </row>
    <row r="228" spans="15:73" x14ac:dyDescent="0.2"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  <c r="AV228" s="67"/>
      <c r="AW228" s="67"/>
      <c r="AX228" s="67"/>
      <c r="AY228" s="67"/>
      <c r="AZ228" s="67"/>
      <c r="BA228" s="67"/>
      <c r="BB228" s="67"/>
      <c r="BC228" s="67"/>
      <c r="BD228" s="67"/>
      <c r="BE228" s="67"/>
      <c r="BF228" s="67"/>
      <c r="BG228" s="67"/>
      <c r="BH228" s="67"/>
      <c r="BI228" s="67"/>
      <c r="BJ228" s="67"/>
      <c r="BK228" s="67"/>
      <c r="BL228" s="67"/>
      <c r="BM228" s="67"/>
      <c r="BN228" s="67"/>
      <c r="BO228" s="67"/>
      <c r="BP228" s="67"/>
      <c r="BQ228" s="67"/>
      <c r="BR228" s="67"/>
      <c r="BS228" s="67"/>
      <c r="BT228" s="67"/>
      <c r="BU228" s="67"/>
    </row>
    <row r="229" spans="15:73" x14ac:dyDescent="0.2"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  <c r="AV229" s="67"/>
      <c r="AW229" s="67"/>
      <c r="AX229" s="67"/>
      <c r="AY229" s="67"/>
      <c r="AZ229" s="67"/>
      <c r="BA229" s="67"/>
      <c r="BB229" s="67"/>
      <c r="BC229" s="67"/>
      <c r="BD229" s="67"/>
      <c r="BE229" s="67"/>
      <c r="BF229" s="67"/>
      <c r="BG229" s="67"/>
      <c r="BH229" s="67"/>
      <c r="BI229" s="67"/>
      <c r="BJ229" s="67"/>
      <c r="BK229" s="67"/>
      <c r="BL229" s="67"/>
      <c r="BM229" s="67"/>
      <c r="BN229" s="67"/>
      <c r="BO229" s="67"/>
      <c r="BP229" s="67"/>
      <c r="BQ229" s="67"/>
      <c r="BR229" s="67"/>
      <c r="BS229" s="67"/>
      <c r="BT229" s="67"/>
      <c r="BU229" s="67"/>
    </row>
    <row r="230" spans="15:73" x14ac:dyDescent="0.2"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67"/>
      <c r="BM230" s="67"/>
      <c r="BN230" s="67"/>
      <c r="BO230" s="67"/>
      <c r="BP230" s="67"/>
      <c r="BQ230" s="67"/>
      <c r="BR230" s="67"/>
      <c r="BS230" s="67"/>
      <c r="BT230" s="67"/>
      <c r="BU230" s="67"/>
    </row>
    <row r="231" spans="15:73" x14ac:dyDescent="0.2"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  <c r="BM231" s="67"/>
      <c r="BN231" s="67"/>
      <c r="BO231" s="67"/>
      <c r="BP231" s="67"/>
      <c r="BQ231" s="67"/>
      <c r="BR231" s="67"/>
      <c r="BS231" s="67"/>
      <c r="BT231" s="67"/>
      <c r="BU231" s="67"/>
    </row>
    <row r="232" spans="15:73" x14ac:dyDescent="0.2"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  <c r="BM232" s="67"/>
      <c r="BN232" s="67"/>
      <c r="BO232" s="67"/>
      <c r="BP232" s="67"/>
      <c r="BQ232" s="67"/>
      <c r="BR232" s="67"/>
      <c r="BS232" s="67"/>
      <c r="BT232" s="67"/>
      <c r="BU232" s="67"/>
    </row>
    <row r="233" spans="15:73" x14ac:dyDescent="0.2"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  <c r="BM233" s="67"/>
      <c r="BN233" s="67"/>
      <c r="BO233" s="67"/>
      <c r="BP233" s="67"/>
      <c r="BQ233" s="67"/>
      <c r="BR233" s="67"/>
      <c r="BS233" s="67"/>
      <c r="BT233" s="67"/>
      <c r="BU233" s="67"/>
    </row>
    <row r="234" spans="15:73" x14ac:dyDescent="0.2"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  <c r="AW234" s="67"/>
      <c r="AX234" s="67"/>
      <c r="AY234" s="67"/>
      <c r="AZ234" s="67"/>
      <c r="BA234" s="67"/>
      <c r="BB234" s="67"/>
      <c r="BC234" s="67"/>
      <c r="BD234" s="67"/>
      <c r="BE234" s="67"/>
      <c r="BF234" s="67"/>
      <c r="BG234" s="67"/>
      <c r="BH234" s="67"/>
      <c r="BI234" s="67"/>
      <c r="BJ234" s="67"/>
      <c r="BK234" s="67"/>
      <c r="BL234" s="67"/>
      <c r="BM234" s="67"/>
      <c r="BN234" s="67"/>
      <c r="BO234" s="67"/>
      <c r="BP234" s="67"/>
      <c r="BQ234" s="67"/>
      <c r="BR234" s="67"/>
      <c r="BS234" s="67"/>
      <c r="BT234" s="67"/>
      <c r="BU234" s="67"/>
    </row>
    <row r="235" spans="15:73" x14ac:dyDescent="0.2"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  <c r="AV235" s="67"/>
      <c r="AW235" s="67"/>
      <c r="AX235" s="67"/>
      <c r="AY235" s="67"/>
      <c r="AZ235" s="67"/>
      <c r="BA235" s="67"/>
      <c r="BB235" s="67"/>
      <c r="BC235" s="67"/>
      <c r="BD235" s="67"/>
      <c r="BE235" s="67"/>
      <c r="BF235" s="67"/>
      <c r="BG235" s="67"/>
      <c r="BH235" s="67"/>
      <c r="BI235" s="67"/>
      <c r="BJ235" s="67"/>
      <c r="BK235" s="67"/>
      <c r="BL235" s="67"/>
      <c r="BM235" s="67"/>
      <c r="BN235" s="67"/>
      <c r="BO235" s="67"/>
      <c r="BP235" s="67"/>
      <c r="BQ235" s="67"/>
      <c r="BR235" s="67"/>
      <c r="BS235" s="67"/>
      <c r="BT235" s="67"/>
      <c r="BU235" s="67"/>
    </row>
    <row r="236" spans="15:73" x14ac:dyDescent="0.2"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67"/>
      <c r="BA236" s="67"/>
      <c r="BB236" s="67"/>
      <c r="BC236" s="67"/>
      <c r="BD236" s="67"/>
      <c r="BE236" s="67"/>
      <c r="BF236" s="67"/>
      <c r="BG236" s="67"/>
      <c r="BH236" s="67"/>
      <c r="BI236" s="67"/>
      <c r="BJ236" s="67"/>
      <c r="BK236" s="67"/>
      <c r="BL236" s="67"/>
      <c r="BM236" s="67"/>
      <c r="BN236" s="67"/>
      <c r="BO236" s="67"/>
      <c r="BP236" s="67"/>
      <c r="BQ236" s="67"/>
      <c r="BR236" s="67"/>
      <c r="BS236" s="67"/>
      <c r="BT236" s="67"/>
      <c r="BU236" s="67"/>
    </row>
    <row r="237" spans="15:73" x14ac:dyDescent="0.2"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  <c r="AV237" s="67"/>
      <c r="AW237" s="67"/>
      <c r="AX237" s="67"/>
      <c r="AY237" s="67"/>
      <c r="AZ237" s="67"/>
      <c r="BA237" s="67"/>
      <c r="BB237" s="67"/>
      <c r="BC237" s="67"/>
      <c r="BD237" s="67"/>
      <c r="BE237" s="67"/>
      <c r="BF237" s="67"/>
      <c r="BG237" s="67"/>
      <c r="BH237" s="67"/>
      <c r="BI237" s="67"/>
      <c r="BJ237" s="67"/>
      <c r="BK237" s="67"/>
      <c r="BL237" s="67"/>
      <c r="BM237" s="67"/>
      <c r="BN237" s="67"/>
      <c r="BO237" s="67"/>
      <c r="BP237" s="67"/>
      <c r="BQ237" s="67"/>
      <c r="BR237" s="67"/>
      <c r="BS237" s="67"/>
      <c r="BT237" s="67"/>
      <c r="BU237" s="67"/>
    </row>
    <row r="238" spans="15:73" x14ac:dyDescent="0.2"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  <c r="AV238" s="67"/>
      <c r="AW238" s="67"/>
      <c r="AX238" s="67"/>
      <c r="AY238" s="67"/>
      <c r="AZ238" s="67"/>
      <c r="BA238" s="67"/>
      <c r="BB238" s="67"/>
      <c r="BC238" s="67"/>
      <c r="BD238" s="67"/>
      <c r="BE238" s="67"/>
      <c r="BF238" s="67"/>
      <c r="BG238" s="67"/>
      <c r="BH238" s="67"/>
      <c r="BI238" s="67"/>
      <c r="BJ238" s="67"/>
      <c r="BK238" s="67"/>
      <c r="BL238" s="67"/>
      <c r="BM238" s="67"/>
      <c r="BN238" s="67"/>
      <c r="BO238" s="67"/>
      <c r="BP238" s="67"/>
      <c r="BQ238" s="67"/>
      <c r="BR238" s="67"/>
      <c r="BS238" s="67"/>
      <c r="BT238" s="67"/>
      <c r="BU238" s="67"/>
    </row>
    <row r="239" spans="15:73" x14ac:dyDescent="0.2"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  <c r="AW239" s="67"/>
      <c r="AX239" s="67"/>
      <c r="AY239" s="67"/>
      <c r="AZ239" s="67"/>
      <c r="BA239" s="67"/>
      <c r="BB239" s="67"/>
      <c r="BC239" s="67"/>
      <c r="BD239" s="67"/>
      <c r="BE239" s="67"/>
      <c r="BF239" s="67"/>
      <c r="BG239" s="67"/>
      <c r="BH239" s="67"/>
      <c r="BI239" s="67"/>
      <c r="BJ239" s="67"/>
      <c r="BK239" s="67"/>
      <c r="BL239" s="67"/>
      <c r="BM239" s="67"/>
      <c r="BN239" s="67"/>
      <c r="BO239" s="67"/>
      <c r="BP239" s="67"/>
      <c r="BQ239" s="67"/>
      <c r="BR239" s="67"/>
      <c r="BS239" s="67"/>
      <c r="BT239" s="67"/>
      <c r="BU239" s="67"/>
    </row>
    <row r="240" spans="15:73" x14ac:dyDescent="0.2"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  <c r="AW240" s="67"/>
      <c r="AX240" s="67"/>
      <c r="AY240" s="67"/>
      <c r="AZ240" s="67"/>
      <c r="BA240" s="67"/>
      <c r="BB240" s="67"/>
      <c r="BC240" s="67"/>
      <c r="BD240" s="67"/>
      <c r="BE240" s="67"/>
      <c r="BF240" s="67"/>
      <c r="BG240" s="67"/>
      <c r="BH240" s="67"/>
      <c r="BI240" s="67"/>
      <c r="BJ240" s="67"/>
      <c r="BK240" s="67"/>
      <c r="BL240" s="67"/>
      <c r="BM240" s="67"/>
      <c r="BN240" s="67"/>
      <c r="BO240" s="67"/>
      <c r="BP240" s="67"/>
      <c r="BQ240" s="67"/>
      <c r="BR240" s="67"/>
      <c r="BS240" s="67"/>
      <c r="BT240" s="67"/>
      <c r="BU240" s="67"/>
    </row>
    <row r="241" spans="15:73" x14ac:dyDescent="0.2"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  <c r="AV241" s="67"/>
      <c r="AW241" s="67"/>
      <c r="AX241" s="67"/>
      <c r="AY241" s="67"/>
      <c r="AZ241" s="67"/>
      <c r="BA241" s="67"/>
      <c r="BB241" s="67"/>
      <c r="BC241" s="67"/>
      <c r="BD241" s="67"/>
      <c r="BE241" s="67"/>
      <c r="BF241" s="67"/>
      <c r="BG241" s="67"/>
      <c r="BH241" s="67"/>
      <c r="BI241" s="67"/>
      <c r="BJ241" s="67"/>
      <c r="BK241" s="67"/>
      <c r="BL241" s="67"/>
      <c r="BM241" s="67"/>
      <c r="BN241" s="67"/>
      <c r="BO241" s="67"/>
      <c r="BP241" s="67"/>
      <c r="BQ241" s="67"/>
      <c r="BR241" s="67"/>
      <c r="BS241" s="67"/>
      <c r="BT241" s="67"/>
      <c r="BU241" s="67"/>
    </row>
    <row r="242" spans="15:73" x14ac:dyDescent="0.2"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  <c r="AV242" s="67"/>
      <c r="AW242" s="67"/>
      <c r="AX242" s="67"/>
      <c r="AY242" s="67"/>
      <c r="AZ242" s="67"/>
      <c r="BA242" s="67"/>
      <c r="BB242" s="67"/>
      <c r="BC242" s="67"/>
      <c r="BD242" s="67"/>
      <c r="BE242" s="67"/>
      <c r="BF242" s="67"/>
      <c r="BG242" s="67"/>
      <c r="BH242" s="67"/>
      <c r="BI242" s="67"/>
      <c r="BJ242" s="67"/>
      <c r="BK242" s="67"/>
      <c r="BL242" s="67"/>
      <c r="BM242" s="67"/>
      <c r="BN242" s="67"/>
      <c r="BO242" s="67"/>
      <c r="BP242" s="67"/>
      <c r="BQ242" s="67"/>
      <c r="BR242" s="67"/>
      <c r="BS242" s="67"/>
      <c r="BT242" s="67"/>
      <c r="BU242" s="67"/>
    </row>
    <row r="243" spans="15:73" x14ac:dyDescent="0.2"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  <c r="AV243" s="67"/>
      <c r="AW243" s="67"/>
      <c r="AX243" s="67"/>
      <c r="AY243" s="67"/>
      <c r="AZ243" s="67"/>
      <c r="BA243" s="67"/>
      <c r="BB243" s="67"/>
      <c r="BC243" s="67"/>
      <c r="BD243" s="67"/>
      <c r="BE243" s="67"/>
      <c r="BF243" s="67"/>
      <c r="BG243" s="67"/>
      <c r="BH243" s="67"/>
      <c r="BI243" s="67"/>
      <c r="BJ243" s="67"/>
      <c r="BK243" s="67"/>
      <c r="BL243" s="67"/>
      <c r="BM243" s="67"/>
      <c r="BN243" s="67"/>
      <c r="BO243" s="67"/>
      <c r="BP243" s="67"/>
      <c r="BQ243" s="67"/>
      <c r="BR243" s="67"/>
      <c r="BS243" s="67"/>
      <c r="BT243" s="67"/>
      <c r="BU243" s="67"/>
    </row>
    <row r="244" spans="15:73" x14ac:dyDescent="0.2"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  <c r="AV244" s="67"/>
      <c r="AW244" s="67"/>
      <c r="AX244" s="67"/>
      <c r="AY244" s="67"/>
      <c r="AZ244" s="67"/>
      <c r="BA244" s="67"/>
      <c r="BB244" s="67"/>
      <c r="BC244" s="67"/>
      <c r="BD244" s="67"/>
      <c r="BE244" s="67"/>
      <c r="BF244" s="67"/>
      <c r="BG244" s="67"/>
      <c r="BH244" s="67"/>
      <c r="BI244" s="67"/>
      <c r="BJ244" s="67"/>
      <c r="BK244" s="67"/>
      <c r="BL244" s="67"/>
      <c r="BM244" s="67"/>
      <c r="BN244" s="67"/>
      <c r="BO244" s="67"/>
      <c r="BP244" s="67"/>
      <c r="BQ244" s="67"/>
      <c r="BR244" s="67"/>
      <c r="BS244" s="67"/>
      <c r="BT244" s="67"/>
      <c r="BU244" s="67"/>
    </row>
    <row r="245" spans="15:73" x14ac:dyDescent="0.2"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  <c r="AV245" s="67"/>
      <c r="AW245" s="67"/>
      <c r="AX245" s="67"/>
      <c r="AY245" s="67"/>
      <c r="AZ245" s="67"/>
      <c r="BA245" s="67"/>
      <c r="BB245" s="67"/>
      <c r="BC245" s="67"/>
      <c r="BD245" s="67"/>
      <c r="BE245" s="67"/>
      <c r="BF245" s="67"/>
      <c r="BG245" s="67"/>
      <c r="BH245" s="67"/>
      <c r="BI245" s="67"/>
      <c r="BJ245" s="67"/>
      <c r="BK245" s="67"/>
      <c r="BL245" s="67"/>
      <c r="BM245" s="67"/>
      <c r="BN245" s="67"/>
      <c r="BO245" s="67"/>
      <c r="BP245" s="67"/>
      <c r="BQ245" s="67"/>
      <c r="BR245" s="67"/>
      <c r="BS245" s="67"/>
      <c r="BT245" s="67"/>
      <c r="BU245" s="67"/>
    </row>
    <row r="246" spans="15:73" x14ac:dyDescent="0.2"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  <c r="AV246" s="67"/>
      <c r="AW246" s="67"/>
      <c r="AX246" s="67"/>
      <c r="AY246" s="67"/>
      <c r="AZ246" s="67"/>
      <c r="BA246" s="67"/>
      <c r="BB246" s="67"/>
      <c r="BC246" s="67"/>
      <c r="BD246" s="67"/>
      <c r="BE246" s="67"/>
      <c r="BF246" s="67"/>
      <c r="BG246" s="67"/>
      <c r="BH246" s="67"/>
      <c r="BI246" s="67"/>
      <c r="BJ246" s="67"/>
      <c r="BK246" s="67"/>
      <c r="BL246" s="67"/>
      <c r="BM246" s="67"/>
      <c r="BN246" s="67"/>
      <c r="BO246" s="67"/>
      <c r="BP246" s="67"/>
      <c r="BQ246" s="67"/>
      <c r="BR246" s="67"/>
      <c r="BS246" s="67"/>
      <c r="BT246" s="67"/>
      <c r="BU246" s="67"/>
    </row>
    <row r="247" spans="15:73" x14ac:dyDescent="0.2"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  <c r="AV247" s="67"/>
      <c r="AW247" s="67"/>
      <c r="AX247" s="67"/>
      <c r="AY247" s="67"/>
      <c r="AZ247" s="67"/>
      <c r="BA247" s="67"/>
      <c r="BB247" s="67"/>
      <c r="BC247" s="67"/>
      <c r="BD247" s="67"/>
      <c r="BE247" s="67"/>
      <c r="BF247" s="67"/>
      <c r="BG247" s="67"/>
      <c r="BH247" s="67"/>
      <c r="BI247" s="67"/>
      <c r="BJ247" s="67"/>
      <c r="BK247" s="67"/>
      <c r="BL247" s="67"/>
      <c r="BM247" s="67"/>
      <c r="BN247" s="67"/>
      <c r="BO247" s="67"/>
      <c r="BP247" s="67"/>
      <c r="BQ247" s="67"/>
      <c r="BR247" s="67"/>
      <c r="BS247" s="67"/>
      <c r="BT247" s="67"/>
      <c r="BU247" s="67"/>
    </row>
    <row r="248" spans="15:73" x14ac:dyDescent="0.2"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  <c r="AV248" s="67"/>
      <c r="AW248" s="67"/>
      <c r="AX248" s="67"/>
      <c r="AY248" s="67"/>
      <c r="AZ248" s="67"/>
      <c r="BA248" s="67"/>
      <c r="BB248" s="67"/>
      <c r="BC248" s="67"/>
      <c r="BD248" s="67"/>
      <c r="BE248" s="67"/>
      <c r="BF248" s="67"/>
      <c r="BG248" s="67"/>
      <c r="BH248" s="67"/>
      <c r="BI248" s="67"/>
      <c r="BJ248" s="67"/>
      <c r="BK248" s="67"/>
      <c r="BL248" s="67"/>
      <c r="BM248" s="67"/>
      <c r="BN248" s="67"/>
      <c r="BO248" s="67"/>
      <c r="BP248" s="67"/>
      <c r="BQ248" s="67"/>
      <c r="BR248" s="67"/>
      <c r="BS248" s="67"/>
      <c r="BT248" s="67"/>
      <c r="BU248" s="67"/>
    </row>
    <row r="249" spans="15:73" x14ac:dyDescent="0.2"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67"/>
      <c r="AL249" s="67"/>
      <c r="AM249" s="67"/>
      <c r="AN249" s="67"/>
      <c r="AO249" s="67"/>
      <c r="AP249" s="67"/>
      <c r="AQ249" s="67"/>
      <c r="AR249" s="67"/>
      <c r="AS249" s="67"/>
      <c r="AT249" s="67"/>
      <c r="AU249" s="67"/>
      <c r="AV249" s="67"/>
      <c r="AW249" s="67"/>
      <c r="AX249" s="67"/>
      <c r="AY249" s="67"/>
      <c r="AZ249" s="67"/>
      <c r="BA249" s="67"/>
      <c r="BB249" s="67"/>
      <c r="BC249" s="67"/>
      <c r="BD249" s="67"/>
      <c r="BE249" s="67"/>
      <c r="BF249" s="67"/>
      <c r="BG249" s="67"/>
      <c r="BH249" s="67"/>
      <c r="BI249" s="67"/>
      <c r="BJ249" s="67"/>
      <c r="BK249" s="67"/>
      <c r="BL249" s="67"/>
      <c r="BM249" s="67"/>
      <c r="BN249" s="67"/>
      <c r="BO249" s="67"/>
      <c r="BP249" s="67"/>
      <c r="BQ249" s="67"/>
      <c r="BR249" s="67"/>
      <c r="BS249" s="67"/>
      <c r="BT249" s="67"/>
      <c r="BU249" s="67"/>
    </row>
    <row r="250" spans="15:73" x14ac:dyDescent="0.2"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  <c r="AV250" s="67"/>
      <c r="AW250" s="67"/>
      <c r="AX250" s="67"/>
      <c r="AY250" s="67"/>
      <c r="AZ250" s="67"/>
      <c r="BA250" s="67"/>
      <c r="BB250" s="67"/>
      <c r="BC250" s="67"/>
      <c r="BD250" s="67"/>
      <c r="BE250" s="67"/>
      <c r="BF250" s="67"/>
      <c r="BG250" s="67"/>
      <c r="BH250" s="67"/>
      <c r="BI250" s="67"/>
      <c r="BJ250" s="67"/>
      <c r="BK250" s="67"/>
      <c r="BL250" s="67"/>
      <c r="BM250" s="67"/>
      <c r="BN250" s="67"/>
      <c r="BO250" s="67"/>
      <c r="BP250" s="67"/>
      <c r="BQ250" s="67"/>
      <c r="BR250" s="67"/>
      <c r="BS250" s="67"/>
      <c r="BT250" s="67"/>
      <c r="BU250" s="67"/>
    </row>
    <row r="251" spans="15:73" x14ac:dyDescent="0.2"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  <c r="AV251" s="67"/>
      <c r="AW251" s="67"/>
      <c r="AX251" s="67"/>
      <c r="AY251" s="67"/>
      <c r="AZ251" s="67"/>
      <c r="BA251" s="67"/>
      <c r="BB251" s="67"/>
      <c r="BC251" s="67"/>
      <c r="BD251" s="67"/>
      <c r="BE251" s="67"/>
      <c r="BF251" s="67"/>
      <c r="BG251" s="67"/>
      <c r="BH251" s="67"/>
      <c r="BI251" s="67"/>
      <c r="BJ251" s="67"/>
      <c r="BK251" s="67"/>
      <c r="BL251" s="67"/>
      <c r="BM251" s="67"/>
      <c r="BN251" s="67"/>
      <c r="BO251" s="67"/>
      <c r="BP251" s="67"/>
      <c r="BQ251" s="67"/>
      <c r="BR251" s="67"/>
      <c r="BS251" s="67"/>
      <c r="BT251" s="67"/>
      <c r="BU251" s="67"/>
    </row>
    <row r="252" spans="15:73" x14ac:dyDescent="0.2"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  <c r="AV252" s="67"/>
      <c r="AW252" s="67"/>
      <c r="AX252" s="67"/>
      <c r="AY252" s="67"/>
      <c r="AZ252" s="67"/>
      <c r="BA252" s="67"/>
      <c r="BB252" s="67"/>
      <c r="BC252" s="67"/>
      <c r="BD252" s="67"/>
      <c r="BE252" s="67"/>
      <c r="BF252" s="67"/>
      <c r="BG252" s="67"/>
      <c r="BH252" s="67"/>
      <c r="BI252" s="67"/>
      <c r="BJ252" s="67"/>
      <c r="BK252" s="67"/>
      <c r="BL252" s="67"/>
      <c r="BM252" s="67"/>
      <c r="BN252" s="67"/>
      <c r="BO252" s="67"/>
      <c r="BP252" s="67"/>
      <c r="BQ252" s="67"/>
      <c r="BR252" s="67"/>
      <c r="BS252" s="67"/>
      <c r="BT252" s="67"/>
      <c r="BU252" s="67"/>
    </row>
    <row r="253" spans="15:73" x14ac:dyDescent="0.2"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67"/>
      <c r="AM253" s="67"/>
      <c r="AN253" s="67"/>
      <c r="AO253" s="67"/>
      <c r="AP253" s="67"/>
      <c r="AQ253" s="67"/>
      <c r="AR253" s="67"/>
      <c r="AS253" s="67"/>
      <c r="AT253" s="67"/>
      <c r="AU253" s="67"/>
      <c r="AV253" s="67"/>
      <c r="AW253" s="67"/>
      <c r="AX253" s="67"/>
      <c r="AY253" s="67"/>
      <c r="AZ253" s="67"/>
      <c r="BA253" s="67"/>
      <c r="BB253" s="67"/>
      <c r="BC253" s="67"/>
      <c r="BD253" s="67"/>
      <c r="BE253" s="67"/>
      <c r="BF253" s="67"/>
      <c r="BG253" s="67"/>
      <c r="BH253" s="67"/>
      <c r="BI253" s="67"/>
      <c r="BJ253" s="67"/>
      <c r="BK253" s="67"/>
      <c r="BL253" s="67"/>
      <c r="BM253" s="67"/>
      <c r="BN253" s="67"/>
      <c r="BO253" s="67"/>
      <c r="BP253" s="67"/>
      <c r="BQ253" s="67"/>
      <c r="BR253" s="67"/>
      <c r="BS253" s="67"/>
      <c r="BT253" s="67"/>
      <c r="BU253" s="67"/>
    </row>
    <row r="254" spans="15:73" x14ac:dyDescent="0.2"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  <c r="AV254" s="67"/>
      <c r="AW254" s="67"/>
      <c r="AX254" s="67"/>
      <c r="AY254" s="67"/>
      <c r="AZ254" s="67"/>
      <c r="BA254" s="67"/>
      <c r="BB254" s="67"/>
      <c r="BC254" s="67"/>
      <c r="BD254" s="67"/>
      <c r="BE254" s="67"/>
      <c r="BF254" s="67"/>
      <c r="BG254" s="67"/>
      <c r="BH254" s="67"/>
      <c r="BI254" s="67"/>
      <c r="BJ254" s="67"/>
      <c r="BK254" s="67"/>
      <c r="BL254" s="67"/>
      <c r="BM254" s="67"/>
      <c r="BN254" s="67"/>
      <c r="BO254" s="67"/>
      <c r="BP254" s="67"/>
      <c r="BQ254" s="67"/>
      <c r="BR254" s="67"/>
      <c r="BS254" s="67"/>
      <c r="BT254" s="67"/>
      <c r="BU254" s="67"/>
    </row>
    <row r="255" spans="15:73" x14ac:dyDescent="0.2"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67"/>
      <c r="AM255" s="67"/>
      <c r="AN255" s="67"/>
      <c r="AO255" s="67"/>
      <c r="AP255" s="67"/>
      <c r="AQ255" s="67"/>
      <c r="AR255" s="67"/>
      <c r="AS255" s="67"/>
      <c r="AT255" s="67"/>
      <c r="AU255" s="67"/>
      <c r="AV255" s="67"/>
      <c r="AW255" s="67"/>
      <c r="AX255" s="67"/>
      <c r="AY255" s="67"/>
      <c r="AZ255" s="67"/>
      <c r="BA255" s="67"/>
      <c r="BB255" s="67"/>
      <c r="BC255" s="67"/>
      <c r="BD255" s="67"/>
      <c r="BE255" s="67"/>
      <c r="BF255" s="67"/>
      <c r="BG255" s="67"/>
      <c r="BH255" s="67"/>
      <c r="BI255" s="67"/>
      <c r="BJ255" s="67"/>
      <c r="BK255" s="67"/>
      <c r="BL255" s="67"/>
      <c r="BM255" s="67"/>
      <c r="BN255" s="67"/>
      <c r="BO255" s="67"/>
      <c r="BP255" s="67"/>
      <c r="BQ255" s="67"/>
      <c r="BR255" s="67"/>
      <c r="BS255" s="67"/>
      <c r="BT255" s="67"/>
      <c r="BU255" s="67"/>
    </row>
    <row r="256" spans="15:73" x14ac:dyDescent="0.2"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67"/>
      <c r="AM256" s="67"/>
      <c r="AN256" s="67"/>
      <c r="AO256" s="67"/>
      <c r="AP256" s="67"/>
      <c r="AQ256" s="67"/>
      <c r="AR256" s="67"/>
      <c r="AS256" s="67"/>
      <c r="AT256" s="67"/>
      <c r="AU256" s="67"/>
      <c r="AV256" s="67"/>
      <c r="AW256" s="67"/>
      <c r="AX256" s="67"/>
      <c r="AY256" s="67"/>
      <c r="AZ256" s="67"/>
      <c r="BA256" s="67"/>
      <c r="BB256" s="67"/>
      <c r="BC256" s="67"/>
      <c r="BD256" s="67"/>
      <c r="BE256" s="67"/>
      <c r="BF256" s="67"/>
      <c r="BG256" s="67"/>
      <c r="BH256" s="67"/>
      <c r="BI256" s="67"/>
      <c r="BJ256" s="67"/>
      <c r="BK256" s="67"/>
      <c r="BL256" s="67"/>
      <c r="BM256" s="67"/>
      <c r="BN256" s="67"/>
      <c r="BO256" s="67"/>
      <c r="BP256" s="67"/>
      <c r="BQ256" s="67"/>
      <c r="BR256" s="67"/>
      <c r="BS256" s="67"/>
      <c r="BT256" s="67"/>
      <c r="BU256" s="67"/>
    </row>
    <row r="257" spans="15:73" x14ac:dyDescent="0.2"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  <c r="AV257" s="67"/>
      <c r="AW257" s="67"/>
      <c r="AX257" s="67"/>
      <c r="AY257" s="67"/>
      <c r="AZ257" s="67"/>
      <c r="BA257" s="67"/>
      <c r="BB257" s="67"/>
      <c r="BC257" s="67"/>
      <c r="BD257" s="67"/>
      <c r="BE257" s="67"/>
      <c r="BF257" s="67"/>
      <c r="BG257" s="67"/>
      <c r="BH257" s="67"/>
      <c r="BI257" s="67"/>
      <c r="BJ257" s="67"/>
      <c r="BK257" s="67"/>
      <c r="BL257" s="67"/>
      <c r="BM257" s="67"/>
      <c r="BN257" s="67"/>
      <c r="BO257" s="67"/>
      <c r="BP257" s="67"/>
      <c r="BQ257" s="67"/>
      <c r="BR257" s="67"/>
      <c r="BS257" s="67"/>
      <c r="BT257" s="67"/>
      <c r="BU257" s="67"/>
    </row>
    <row r="258" spans="15:73" x14ac:dyDescent="0.2"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  <c r="AV258" s="67"/>
      <c r="AW258" s="67"/>
      <c r="AX258" s="67"/>
      <c r="AY258" s="67"/>
      <c r="AZ258" s="67"/>
      <c r="BA258" s="67"/>
      <c r="BB258" s="67"/>
      <c r="BC258" s="67"/>
      <c r="BD258" s="67"/>
      <c r="BE258" s="67"/>
      <c r="BF258" s="67"/>
      <c r="BG258" s="67"/>
      <c r="BH258" s="67"/>
      <c r="BI258" s="67"/>
      <c r="BJ258" s="67"/>
      <c r="BK258" s="67"/>
      <c r="BL258" s="67"/>
      <c r="BM258" s="67"/>
      <c r="BN258" s="67"/>
      <c r="BO258" s="67"/>
      <c r="BP258" s="67"/>
      <c r="BQ258" s="67"/>
      <c r="BR258" s="67"/>
      <c r="BS258" s="67"/>
      <c r="BT258" s="67"/>
      <c r="BU258" s="67"/>
    </row>
    <row r="259" spans="15:73" x14ac:dyDescent="0.2"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  <c r="AV259" s="67"/>
      <c r="AW259" s="67"/>
      <c r="AX259" s="67"/>
      <c r="AY259" s="67"/>
      <c r="AZ259" s="67"/>
      <c r="BA259" s="67"/>
      <c r="BB259" s="67"/>
      <c r="BC259" s="67"/>
      <c r="BD259" s="67"/>
      <c r="BE259" s="67"/>
      <c r="BF259" s="67"/>
      <c r="BG259" s="67"/>
      <c r="BH259" s="67"/>
      <c r="BI259" s="67"/>
      <c r="BJ259" s="67"/>
      <c r="BK259" s="67"/>
      <c r="BL259" s="67"/>
      <c r="BM259" s="67"/>
      <c r="BN259" s="67"/>
      <c r="BO259" s="67"/>
      <c r="BP259" s="67"/>
      <c r="BQ259" s="67"/>
      <c r="BR259" s="67"/>
      <c r="BS259" s="67"/>
      <c r="BT259" s="67"/>
      <c r="BU259" s="67"/>
    </row>
    <row r="260" spans="15:73" x14ac:dyDescent="0.2"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  <c r="AV260" s="67"/>
      <c r="AW260" s="67"/>
      <c r="AX260" s="67"/>
      <c r="AY260" s="67"/>
      <c r="AZ260" s="67"/>
      <c r="BA260" s="67"/>
      <c r="BB260" s="67"/>
      <c r="BC260" s="67"/>
      <c r="BD260" s="67"/>
      <c r="BE260" s="67"/>
      <c r="BF260" s="67"/>
      <c r="BG260" s="67"/>
      <c r="BH260" s="67"/>
      <c r="BI260" s="67"/>
      <c r="BJ260" s="67"/>
      <c r="BK260" s="67"/>
      <c r="BL260" s="67"/>
      <c r="BM260" s="67"/>
      <c r="BN260" s="67"/>
      <c r="BO260" s="67"/>
      <c r="BP260" s="67"/>
      <c r="BQ260" s="67"/>
      <c r="BR260" s="67"/>
      <c r="BS260" s="67"/>
      <c r="BT260" s="67"/>
      <c r="BU260" s="67"/>
    </row>
    <row r="261" spans="15:73" x14ac:dyDescent="0.2"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67"/>
      <c r="AM261" s="67"/>
      <c r="AN261" s="67"/>
      <c r="AO261" s="67"/>
      <c r="AP261" s="67"/>
      <c r="AQ261" s="67"/>
      <c r="AR261" s="67"/>
      <c r="AS261" s="67"/>
      <c r="AT261" s="67"/>
      <c r="AU261" s="67"/>
      <c r="AV261" s="67"/>
      <c r="AW261" s="67"/>
      <c r="AX261" s="67"/>
      <c r="AY261" s="67"/>
      <c r="AZ261" s="67"/>
      <c r="BA261" s="67"/>
      <c r="BB261" s="67"/>
      <c r="BC261" s="67"/>
      <c r="BD261" s="67"/>
      <c r="BE261" s="67"/>
      <c r="BF261" s="67"/>
      <c r="BG261" s="67"/>
      <c r="BH261" s="67"/>
      <c r="BI261" s="67"/>
      <c r="BJ261" s="67"/>
      <c r="BK261" s="67"/>
      <c r="BL261" s="67"/>
      <c r="BM261" s="67"/>
      <c r="BN261" s="67"/>
      <c r="BO261" s="67"/>
      <c r="BP261" s="67"/>
      <c r="BQ261" s="67"/>
      <c r="BR261" s="67"/>
      <c r="BS261" s="67"/>
      <c r="BT261" s="67"/>
      <c r="BU261" s="67"/>
    </row>
    <row r="262" spans="15:73" x14ac:dyDescent="0.2"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  <c r="AV262" s="67"/>
      <c r="AW262" s="67"/>
      <c r="AX262" s="67"/>
      <c r="AY262" s="67"/>
      <c r="AZ262" s="67"/>
      <c r="BA262" s="67"/>
      <c r="BB262" s="67"/>
      <c r="BC262" s="67"/>
      <c r="BD262" s="67"/>
      <c r="BE262" s="67"/>
      <c r="BF262" s="67"/>
      <c r="BG262" s="67"/>
      <c r="BH262" s="67"/>
      <c r="BI262" s="67"/>
      <c r="BJ262" s="67"/>
      <c r="BK262" s="67"/>
      <c r="BL262" s="67"/>
      <c r="BM262" s="67"/>
      <c r="BN262" s="67"/>
      <c r="BO262" s="67"/>
      <c r="BP262" s="67"/>
      <c r="BQ262" s="67"/>
      <c r="BR262" s="67"/>
      <c r="BS262" s="67"/>
      <c r="BT262" s="67"/>
      <c r="BU262" s="67"/>
    </row>
    <row r="263" spans="15:73" x14ac:dyDescent="0.2"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  <c r="AO263" s="67"/>
      <c r="AP263" s="67"/>
      <c r="AQ263" s="67"/>
      <c r="AR263" s="67"/>
      <c r="AS263" s="67"/>
      <c r="AT263" s="67"/>
      <c r="AU263" s="67"/>
      <c r="AV263" s="67"/>
      <c r="AW263" s="67"/>
      <c r="AX263" s="67"/>
      <c r="AY263" s="67"/>
      <c r="AZ263" s="67"/>
      <c r="BA263" s="67"/>
      <c r="BB263" s="67"/>
      <c r="BC263" s="67"/>
      <c r="BD263" s="67"/>
      <c r="BE263" s="67"/>
      <c r="BF263" s="67"/>
      <c r="BG263" s="67"/>
      <c r="BH263" s="67"/>
      <c r="BI263" s="67"/>
      <c r="BJ263" s="67"/>
      <c r="BK263" s="67"/>
      <c r="BL263" s="67"/>
      <c r="BM263" s="67"/>
      <c r="BN263" s="67"/>
      <c r="BO263" s="67"/>
      <c r="BP263" s="67"/>
      <c r="BQ263" s="67"/>
      <c r="BR263" s="67"/>
      <c r="BS263" s="67"/>
      <c r="BT263" s="67"/>
      <c r="BU263" s="67"/>
    </row>
    <row r="264" spans="15:73" x14ac:dyDescent="0.2"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67"/>
      <c r="AM264" s="67"/>
      <c r="AN264" s="67"/>
      <c r="AO264" s="67"/>
      <c r="AP264" s="67"/>
      <c r="AQ264" s="67"/>
      <c r="AR264" s="67"/>
      <c r="AS264" s="67"/>
      <c r="AT264" s="67"/>
      <c r="AU264" s="67"/>
      <c r="AV264" s="67"/>
      <c r="AW264" s="67"/>
      <c r="AX264" s="67"/>
      <c r="AY264" s="67"/>
      <c r="AZ264" s="67"/>
      <c r="BA264" s="67"/>
      <c r="BB264" s="67"/>
      <c r="BC264" s="67"/>
      <c r="BD264" s="67"/>
      <c r="BE264" s="67"/>
      <c r="BF264" s="67"/>
      <c r="BG264" s="67"/>
      <c r="BH264" s="67"/>
      <c r="BI264" s="67"/>
      <c r="BJ264" s="67"/>
      <c r="BK264" s="67"/>
      <c r="BL264" s="67"/>
      <c r="BM264" s="67"/>
      <c r="BN264" s="67"/>
      <c r="BO264" s="67"/>
      <c r="BP264" s="67"/>
      <c r="BQ264" s="67"/>
      <c r="BR264" s="67"/>
      <c r="BS264" s="67"/>
      <c r="BT264" s="67"/>
      <c r="BU264" s="67"/>
    </row>
    <row r="265" spans="15:73" x14ac:dyDescent="0.2"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67"/>
      <c r="BA265" s="67"/>
      <c r="BB265" s="67"/>
      <c r="BC265" s="67"/>
      <c r="BD265" s="67"/>
      <c r="BE265" s="67"/>
      <c r="BF265" s="67"/>
      <c r="BG265" s="67"/>
      <c r="BH265" s="67"/>
      <c r="BI265" s="67"/>
      <c r="BJ265" s="67"/>
      <c r="BK265" s="67"/>
      <c r="BL265" s="67"/>
      <c r="BM265" s="67"/>
      <c r="BN265" s="67"/>
      <c r="BO265" s="67"/>
      <c r="BP265" s="67"/>
      <c r="BQ265" s="67"/>
      <c r="BR265" s="67"/>
      <c r="BS265" s="67"/>
      <c r="BT265" s="67"/>
      <c r="BU265" s="67"/>
    </row>
    <row r="266" spans="15:73" x14ac:dyDescent="0.2"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  <c r="AV266" s="67"/>
      <c r="AW266" s="67"/>
      <c r="AX266" s="67"/>
      <c r="AY266" s="67"/>
      <c r="AZ266" s="67"/>
      <c r="BA266" s="67"/>
      <c r="BB266" s="67"/>
      <c r="BC266" s="67"/>
      <c r="BD266" s="67"/>
      <c r="BE266" s="67"/>
      <c r="BF266" s="67"/>
      <c r="BG266" s="67"/>
      <c r="BH266" s="67"/>
      <c r="BI266" s="67"/>
      <c r="BJ266" s="67"/>
      <c r="BK266" s="67"/>
      <c r="BL266" s="67"/>
      <c r="BM266" s="67"/>
      <c r="BN266" s="67"/>
      <c r="BO266" s="67"/>
      <c r="BP266" s="67"/>
      <c r="BQ266" s="67"/>
      <c r="BR266" s="67"/>
      <c r="BS266" s="67"/>
      <c r="BT266" s="67"/>
      <c r="BU266" s="67"/>
    </row>
    <row r="267" spans="15:73" x14ac:dyDescent="0.2"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  <c r="AN267" s="67"/>
      <c r="AO267" s="67"/>
      <c r="AP267" s="67"/>
      <c r="AQ267" s="67"/>
      <c r="AR267" s="67"/>
      <c r="AS267" s="67"/>
      <c r="AT267" s="67"/>
      <c r="AU267" s="67"/>
      <c r="AV267" s="67"/>
      <c r="AW267" s="67"/>
      <c r="AX267" s="67"/>
      <c r="AY267" s="67"/>
      <c r="AZ267" s="67"/>
      <c r="BA267" s="67"/>
      <c r="BB267" s="67"/>
      <c r="BC267" s="67"/>
      <c r="BD267" s="67"/>
      <c r="BE267" s="67"/>
      <c r="BF267" s="67"/>
      <c r="BG267" s="67"/>
      <c r="BH267" s="67"/>
      <c r="BI267" s="67"/>
      <c r="BJ267" s="67"/>
      <c r="BK267" s="67"/>
      <c r="BL267" s="67"/>
      <c r="BM267" s="67"/>
      <c r="BN267" s="67"/>
      <c r="BO267" s="67"/>
      <c r="BP267" s="67"/>
      <c r="BQ267" s="67"/>
      <c r="BR267" s="67"/>
      <c r="BS267" s="67"/>
      <c r="BT267" s="67"/>
      <c r="BU267" s="67"/>
    </row>
    <row r="268" spans="15:73" x14ac:dyDescent="0.2"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AL268" s="67"/>
      <c r="AM268" s="67"/>
      <c r="AN268" s="67"/>
      <c r="AO268" s="67"/>
      <c r="AP268" s="67"/>
      <c r="AQ268" s="67"/>
      <c r="AR268" s="67"/>
      <c r="AS268" s="67"/>
      <c r="AT268" s="67"/>
      <c r="AU268" s="67"/>
      <c r="AV268" s="67"/>
      <c r="AW268" s="67"/>
      <c r="AX268" s="67"/>
      <c r="AY268" s="67"/>
      <c r="AZ268" s="67"/>
      <c r="BA268" s="67"/>
      <c r="BB268" s="67"/>
      <c r="BC268" s="67"/>
      <c r="BD268" s="67"/>
      <c r="BE268" s="67"/>
      <c r="BF268" s="67"/>
      <c r="BG268" s="67"/>
      <c r="BH268" s="67"/>
      <c r="BI268" s="67"/>
      <c r="BJ268" s="67"/>
      <c r="BK268" s="67"/>
      <c r="BL268" s="67"/>
      <c r="BM268" s="67"/>
      <c r="BN268" s="67"/>
      <c r="BO268" s="67"/>
      <c r="BP268" s="67"/>
      <c r="BQ268" s="67"/>
      <c r="BR268" s="67"/>
      <c r="BS268" s="67"/>
      <c r="BT268" s="67"/>
      <c r="BU268" s="67"/>
    </row>
    <row r="269" spans="15:73" x14ac:dyDescent="0.2"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  <c r="AL269" s="67"/>
      <c r="AM269" s="67"/>
      <c r="AN269" s="67"/>
      <c r="AO269" s="67"/>
      <c r="AP269" s="67"/>
      <c r="AQ269" s="67"/>
      <c r="AR269" s="67"/>
      <c r="AS269" s="67"/>
      <c r="AT269" s="67"/>
      <c r="AU269" s="67"/>
      <c r="AV269" s="67"/>
      <c r="AW269" s="67"/>
      <c r="AX269" s="67"/>
      <c r="AY269" s="67"/>
      <c r="AZ269" s="67"/>
      <c r="BA269" s="67"/>
      <c r="BB269" s="67"/>
      <c r="BC269" s="67"/>
      <c r="BD269" s="67"/>
      <c r="BE269" s="67"/>
      <c r="BF269" s="67"/>
      <c r="BG269" s="67"/>
      <c r="BH269" s="67"/>
      <c r="BI269" s="67"/>
      <c r="BJ269" s="67"/>
      <c r="BK269" s="67"/>
      <c r="BL269" s="67"/>
      <c r="BM269" s="67"/>
      <c r="BN269" s="67"/>
      <c r="BO269" s="67"/>
      <c r="BP269" s="67"/>
      <c r="BQ269" s="67"/>
      <c r="BR269" s="67"/>
      <c r="BS269" s="67"/>
      <c r="BT269" s="67"/>
      <c r="BU269" s="67"/>
    </row>
    <row r="270" spans="15:73" x14ac:dyDescent="0.2"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  <c r="AV270" s="67"/>
      <c r="AW270" s="67"/>
      <c r="AX270" s="67"/>
      <c r="AY270" s="67"/>
      <c r="AZ270" s="67"/>
      <c r="BA270" s="67"/>
      <c r="BB270" s="67"/>
      <c r="BC270" s="67"/>
      <c r="BD270" s="67"/>
      <c r="BE270" s="67"/>
      <c r="BF270" s="67"/>
      <c r="BG270" s="67"/>
      <c r="BH270" s="67"/>
      <c r="BI270" s="67"/>
      <c r="BJ270" s="67"/>
      <c r="BK270" s="67"/>
      <c r="BL270" s="67"/>
      <c r="BM270" s="67"/>
      <c r="BN270" s="67"/>
      <c r="BO270" s="67"/>
      <c r="BP270" s="67"/>
      <c r="BQ270" s="67"/>
      <c r="BR270" s="67"/>
      <c r="BS270" s="67"/>
      <c r="BT270" s="67"/>
      <c r="BU270" s="67"/>
    </row>
    <row r="271" spans="15:73" x14ac:dyDescent="0.2"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  <c r="AV271" s="67"/>
      <c r="AW271" s="67"/>
      <c r="AX271" s="67"/>
      <c r="AY271" s="67"/>
      <c r="AZ271" s="67"/>
      <c r="BA271" s="67"/>
      <c r="BB271" s="67"/>
      <c r="BC271" s="67"/>
      <c r="BD271" s="67"/>
      <c r="BE271" s="67"/>
      <c r="BF271" s="67"/>
      <c r="BG271" s="67"/>
      <c r="BH271" s="67"/>
      <c r="BI271" s="67"/>
      <c r="BJ271" s="67"/>
      <c r="BK271" s="67"/>
      <c r="BL271" s="67"/>
      <c r="BM271" s="67"/>
      <c r="BN271" s="67"/>
      <c r="BO271" s="67"/>
      <c r="BP271" s="67"/>
      <c r="BQ271" s="67"/>
      <c r="BR271" s="67"/>
      <c r="BS271" s="67"/>
      <c r="BT271" s="67"/>
      <c r="BU271" s="67"/>
    </row>
    <row r="272" spans="15:73" x14ac:dyDescent="0.2"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  <c r="AV272" s="67"/>
      <c r="AW272" s="67"/>
      <c r="AX272" s="67"/>
      <c r="AY272" s="67"/>
      <c r="AZ272" s="67"/>
      <c r="BA272" s="67"/>
      <c r="BB272" s="67"/>
      <c r="BC272" s="67"/>
      <c r="BD272" s="67"/>
      <c r="BE272" s="67"/>
      <c r="BF272" s="67"/>
      <c r="BG272" s="67"/>
      <c r="BH272" s="67"/>
      <c r="BI272" s="67"/>
      <c r="BJ272" s="67"/>
      <c r="BK272" s="67"/>
      <c r="BL272" s="67"/>
      <c r="BM272" s="67"/>
      <c r="BN272" s="67"/>
      <c r="BO272" s="67"/>
      <c r="BP272" s="67"/>
      <c r="BQ272" s="67"/>
      <c r="BR272" s="67"/>
      <c r="BS272" s="67"/>
      <c r="BT272" s="67"/>
      <c r="BU272" s="67"/>
    </row>
    <row r="273" spans="15:73" x14ac:dyDescent="0.2"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  <c r="AV273" s="67"/>
      <c r="AW273" s="67"/>
      <c r="AX273" s="67"/>
      <c r="AY273" s="67"/>
      <c r="AZ273" s="67"/>
      <c r="BA273" s="67"/>
      <c r="BB273" s="67"/>
      <c r="BC273" s="67"/>
      <c r="BD273" s="67"/>
      <c r="BE273" s="67"/>
      <c r="BF273" s="67"/>
      <c r="BG273" s="67"/>
      <c r="BH273" s="67"/>
      <c r="BI273" s="67"/>
      <c r="BJ273" s="67"/>
      <c r="BK273" s="67"/>
      <c r="BL273" s="67"/>
      <c r="BM273" s="67"/>
      <c r="BN273" s="67"/>
      <c r="BO273" s="67"/>
      <c r="BP273" s="67"/>
      <c r="BQ273" s="67"/>
      <c r="BR273" s="67"/>
      <c r="BS273" s="67"/>
      <c r="BT273" s="67"/>
      <c r="BU273" s="67"/>
    </row>
    <row r="274" spans="15:73" x14ac:dyDescent="0.2"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  <c r="AV274" s="67"/>
      <c r="AW274" s="67"/>
      <c r="AX274" s="67"/>
      <c r="AY274" s="67"/>
      <c r="AZ274" s="67"/>
      <c r="BA274" s="67"/>
      <c r="BB274" s="67"/>
      <c r="BC274" s="67"/>
      <c r="BD274" s="67"/>
      <c r="BE274" s="67"/>
      <c r="BF274" s="67"/>
      <c r="BG274" s="67"/>
      <c r="BH274" s="67"/>
      <c r="BI274" s="67"/>
      <c r="BJ274" s="67"/>
      <c r="BK274" s="67"/>
      <c r="BL274" s="67"/>
      <c r="BM274" s="67"/>
      <c r="BN274" s="67"/>
      <c r="BO274" s="67"/>
      <c r="BP274" s="67"/>
      <c r="BQ274" s="67"/>
      <c r="BR274" s="67"/>
      <c r="BS274" s="67"/>
      <c r="BT274" s="67"/>
      <c r="BU274" s="67"/>
    </row>
    <row r="275" spans="15:73" x14ac:dyDescent="0.2"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  <c r="AV275" s="67"/>
      <c r="AW275" s="67"/>
      <c r="AX275" s="67"/>
      <c r="AY275" s="67"/>
      <c r="AZ275" s="67"/>
      <c r="BA275" s="67"/>
      <c r="BB275" s="67"/>
      <c r="BC275" s="67"/>
      <c r="BD275" s="67"/>
      <c r="BE275" s="67"/>
      <c r="BF275" s="67"/>
      <c r="BG275" s="67"/>
      <c r="BH275" s="67"/>
      <c r="BI275" s="67"/>
      <c r="BJ275" s="67"/>
      <c r="BK275" s="67"/>
      <c r="BL275" s="67"/>
      <c r="BM275" s="67"/>
      <c r="BN275" s="67"/>
      <c r="BO275" s="67"/>
      <c r="BP275" s="67"/>
      <c r="BQ275" s="67"/>
      <c r="BR275" s="67"/>
      <c r="BS275" s="67"/>
      <c r="BT275" s="67"/>
      <c r="BU275" s="67"/>
    </row>
    <row r="276" spans="15:73" x14ac:dyDescent="0.2"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  <c r="AV276" s="67"/>
      <c r="AW276" s="67"/>
      <c r="AX276" s="67"/>
      <c r="AY276" s="67"/>
      <c r="AZ276" s="67"/>
      <c r="BA276" s="67"/>
      <c r="BB276" s="67"/>
      <c r="BC276" s="67"/>
      <c r="BD276" s="67"/>
      <c r="BE276" s="67"/>
      <c r="BF276" s="67"/>
      <c r="BG276" s="67"/>
      <c r="BH276" s="67"/>
      <c r="BI276" s="67"/>
      <c r="BJ276" s="67"/>
      <c r="BK276" s="67"/>
      <c r="BL276" s="67"/>
      <c r="BM276" s="67"/>
      <c r="BN276" s="67"/>
      <c r="BO276" s="67"/>
      <c r="BP276" s="67"/>
      <c r="BQ276" s="67"/>
      <c r="BR276" s="67"/>
      <c r="BS276" s="67"/>
      <c r="BT276" s="67"/>
      <c r="BU276" s="67"/>
    </row>
    <row r="277" spans="15:73" x14ac:dyDescent="0.2"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  <c r="AV277" s="67"/>
      <c r="AW277" s="67"/>
      <c r="AX277" s="67"/>
      <c r="AY277" s="67"/>
      <c r="AZ277" s="67"/>
      <c r="BA277" s="67"/>
      <c r="BB277" s="67"/>
      <c r="BC277" s="67"/>
      <c r="BD277" s="67"/>
      <c r="BE277" s="67"/>
      <c r="BF277" s="67"/>
      <c r="BG277" s="67"/>
      <c r="BH277" s="67"/>
      <c r="BI277" s="67"/>
      <c r="BJ277" s="67"/>
      <c r="BK277" s="67"/>
      <c r="BL277" s="67"/>
      <c r="BM277" s="67"/>
      <c r="BN277" s="67"/>
      <c r="BO277" s="67"/>
      <c r="BP277" s="67"/>
      <c r="BQ277" s="67"/>
      <c r="BR277" s="67"/>
      <c r="BS277" s="67"/>
      <c r="BT277" s="67"/>
      <c r="BU277" s="67"/>
    </row>
    <row r="278" spans="15:73" x14ac:dyDescent="0.2"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67"/>
      <c r="AJ278" s="67"/>
      <c r="AK278" s="67"/>
      <c r="AL278" s="67"/>
      <c r="AM278" s="67"/>
      <c r="AN278" s="67"/>
      <c r="AO278" s="67"/>
      <c r="AP278" s="67"/>
      <c r="AQ278" s="67"/>
      <c r="AR278" s="67"/>
      <c r="AS278" s="67"/>
      <c r="AT278" s="67"/>
      <c r="AU278" s="67"/>
      <c r="AV278" s="67"/>
      <c r="AW278" s="67"/>
      <c r="AX278" s="67"/>
      <c r="AY278" s="67"/>
      <c r="AZ278" s="67"/>
      <c r="BA278" s="67"/>
      <c r="BB278" s="67"/>
      <c r="BC278" s="67"/>
      <c r="BD278" s="67"/>
      <c r="BE278" s="67"/>
      <c r="BF278" s="67"/>
      <c r="BG278" s="67"/>
      <c r="BH278" s="67"/>
      <c r="BI278" s="67"/>
      <c r="BJ278" s="67"/>
      <c r="BK278" s="67"/>
      <c r="BL278" s="67"/>
      <c r="BM278" s="67"/>
      <c r="BN278" s="67"/>
      <c r="BO278" s="67"/>
      <c r="BP278" s="67"/>
      <c r="BQ278" s="67"/>
      <c r="BR278" s="67"/>
      <c r="BS278" s="67"/>
      <c r="BT278" s="67"/>
      <c r="BU278" s="67"/>
    </row>
    <row r="279" spans="15:73" x14ac:dyDescent="0.2"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  <c r="AV279" s="67"/>
      <c r="AW279" s="67"/>
      <c r="AX279" s="67"/>
      <c r="AY279" s="67"/>
      <c r="AZ279" s="67"/>
      <c r="BA279" s="67"/>
      <c r="BB279" s="67"/>
      <c r="BC279" s="67"/>
      <c r="BD279" s="67"/>
      <c r="BE279" s="67"/>
      <c r="BF279" s="67"/>
      <c r="BG279" s="67"/>
      <c r="BH279" s="67"/>
      <c r="BI279" s="67"/>
      <c r="BJ279" s="67"/>
      <c r="BK279" s="67"/>
      <c r="BL279" s="67"/>
      <c r="BM279" s="67"/>
      <c r="BN279" s="67"/>
      <c r="BO279" s="67"/>
      <c r="BP279" s="67"/>
      <c r="BQ279" s="67"/>
      <c r="BR279" s="67"/>
      <c r="BS279" s="67"/>
      <c r="BT279" s="67"/>
      <c r="BU279" s="67"/>
    </row>
    <row r="280" spans="15:73" x14ac:dyDescent="0.2"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  <c r="AV280" s="67"/>
      <c r="AW280" s="67"/>
      <c r="AX280" s="67"/>
      <c r="AY280" s="67"/>
      <c r="AZ280" s="67"/>
      <c r="BA280" s="67"/>
      <c r="BB280" s="67"/>
      <c r="BC280" s="67"/>
      <c r="BD280" s="67"/>
      <c r="BE280" s="67"/>
      <c r="BF280" s="67"/>
      <c r="BG280" s="67"/>
      <c r="BH280" s="67"/>
      <c r="BI280" s="67"/>
      <c r="BJ280" s="67"/>
      <c r="BK280" s="67"/>
      <c r="BL280" s="67"/>
      <c r="BM280" s="67"/>
      <c r="BN280" s="67"/>
      <c r="BO280" s="67"/>
      <c r="BP280" s="67"/>
      <c r="BQ280" s="67"/>
      <c r="BR280" s="67"/>
      <c r="BS280" s="67"/>
      <c r="BT280" s="67"/>
      <c r="BU280" s="67"/>
    </row>
    <row r="281" spans="15:73" x14ac:dyDescent="0.2"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67"/>
      <c r="BB281" s="67"/>
      <c r="BC281" s="67"/>
      <c r="BD281" s="67"/>
      <c r="BE281" s="67"/>
      <c r="BF281" s="67"/>
      <c r="BG281" s="67"/>
      <c r="BH281" s="67"/>
      <c r="BI281" s="67"/>
      <c r="BJ281" s="67"/>
      <c r="BK281" s="67"/>
      <c r="BL281" s="67"/>
      <c r="BM281" s="67"/>
      <c r="BN281" s="67"/>
      <c r="BO281" s="67"/>
      <c r="BP281" s="67"/>
      <c r="BQ281" s="67"/>
      <c r="BR281" s="67"/>
      <c r="BS281" s="67"/>
      <c r="BT281" s="67"/>
      <c r="BU281" s="67"/>
    </row>
    <row r="282" spans="15:73" x14ac:dyDescent="0.2"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  <c r="BB282" s="67"/>
      <c r="BC282" s="67"/>
      <c r="BD282" s="67"/>
      <c r="BE282" s="67"/>
      <c r="BF282" s="67"/>
      <c r="BG282" s="67"/>
      <c r="BH282" s="67"/>
      <c r="BI282" s="67"/>
      <c r="BJ282" s="67"/>
      <c r="BK282" s="67"/>
      <c r="BL282" s="67"/>
      <c r="BM282" s="67"/>
      <c r="BN282" s="67"/>
      <c r="BO282" s="67"/>
      <c r="BP282" s="67"/>
      <c r="BQ282" s="67"/>
      <c r="BR282" s="67"/>
      <c r="BS282" s="67"/>
      <c r="BT282" s="67"/>
      <c r="BU282" s="67"/>
    </row>
    <row r="283" spans="15:73" x14ac:dyDescent="0.2"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  <c r="AV283" s="67"/>
      <c r="AW283" s="67"/>
      <c r="AX283" s="67"/>
      <c r="AY283" s="67"/>
      <c r="AZ283" s="67"/>
      <c r="BA283" s="67"/>
      <c r="BB283" s="67"/>
      <c r="BC283" s="67"/>
      <c r="BD283" s="67"/>
      <c r="BE283" s="67"/>
      <c r="BF283" s="67"/>
      <c r="BG283" s="67"/>
      <c r="BH283" s="67"/>
      <c r="BI283" s="67"/>
      <c r="BJ283" s="67"/>
      <c r="BK283" s="67"/>
      <c r="BL283" s="67"/>
      <c r="BM283" s="67"/>
      <c r="BN283" s="67"/>
      <c r="BO283" s="67"/>
      <c r="BP283" s="67"/>
      <c r="BQ283" s="67"/>
      <c r="BR283" s="67"/>
      <c r="BS283" s="67"/>
      <c r="BT283" s="67"/>
      <c r="BU283" s="67"/>
    </row>
    <row r="284" spans="15:73" x14ac:dyDescent="0.2"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  <c r="AV284" s="67"/>
      <c r="AW284" s="67"/>
      <c r="AX284" s="67"/>
      <c r="AY284" s="67"/>
      <c r="AZ284" s="67"/>
      <c r="BA284" s="67"/>
      <c r="BB284" s="67"/>
      <c r="BC284" s="67"/>
      <c r="BD284" s="67"/>
      <c r="BE284" s="67"/>
      <c r="BF284" s="67"/>
      <c r="BG284" s="67"/>
      <c r="BH284" s="67"/>
      <c r="BI284" s="67"/>
      <c r="BJ284" s="67"/>
      <c r="BK284" s="67"/>
      <c r="BL284" s="67"/>
      <c r="BM284" s="67"/>
      <c r="BN284" s="67"/>
      <c r="BO284" s="67"/>
      <c r="BP284" s="67"/>
      <c r="BQ284" s="67"/>
      <c r="BR284" s="67"/>
      <c r="BS284" s="67"/>
      <c r="BT284" s="67"/>
      <c r="BU284" s="67"/>
    </row>
    <row r="285" spans="15:73" x14ac:dyDescent="0.2"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67"/>
      <c r="BB285" s="67"/>
      <c r="BC285" s="67"/>
      <c r="BD285" s="67"/>
      <c r="BE285" s="67"/>
      <c r="BF285" s="67"/>
      <c r="BG285" s="67"/>
      <c r="BH285" s="67"/>
      <c r="BI285" s="67"/>
      <c r="BJ285" s="67"/>
      <c r="BK285" s="67"/>
      <c r="BL285" s="67"/>
      <c r="BM285" s="67"/>
      <c r="BN285" s="67"/>
      <c r="BO285" s="67"/>
      <c r="BP285" s="67"/>
      <c r="BQ285" s="67"/>
      <c r="BR285" s="67"/>
      <c r="BS285" s="67"/>
      <c r="BT285" s="67"/>
      <c r="BU285" s="67"/>
    </row>
    <row r="286" spans="15:73" x14ac:dyDescent="0.2"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67"/>
      <c r="BB286" s="67"/>
      <c r="BC286" s="67"/>
      <c r="BD286" s="67"/>
      <c r="BE286" s="67"/>
      <c r="BF286" s="67"/>
      <c r="BG286" s="67"/>
      <c r="BH286" s="67"/>
      <c r="BI286" s="67"/>
      <c r="BJ286" s="67"/>
      <c r="BK286" s="67"/>
      <c r="BL286" s="67"/>
      <c r="BM286" s="67"/>
      <c r="BN286" s="67"/>
      <c r="BO286" s="67"/>
      <c r="BP286" s="67"/>
      <c r="BQ286" s="67"/>
      <c r="BR286" s="67"/>
      <c r="BS286" s="67"/>
      <c r="BT286" s="67"/>
      <c r="BU286" s="67"/>
    </row>
    <row r="287" spans="15:73" x14ac:dyDescent="0.2"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  <c r="AV287" s="67"/>
      <c r="AW287" s="67"/>
      <c r="AX287" s="67"/>
      <c r="AY287" s="67"/>
      <c r="AZ287" s="67"/>
      <c r="BA287" s="67"/>
      <c r="BB287" s="67"/>
      <c r="BC287" s="67"/>
      <c r="BD287" s="67"/>
      <c r="BE287" s="67"/>
      <c r="BF287" s="67"/>
      <c r="BG287" s="67"/>
      <c r="BH287" s="67"/>
      <c r="BI287" s="67"/>
      <c r="BJ287" s="67"/>
      <c r="BK287" s="67"/>
      <c r="BL287" s="67"/>
      <c r="BM287" s="67"/>
      <c r="BN287" s="67"/>
      <c r="BO287" s="67"/>
      <c r="BP287" s="67"/>
      <c r="BQ287" s="67"/>
      <c r="BR287" s="67"/>
      <c r="BS287" s="67"/>
      <c r="BT287" s="67"/>
      <c r="BU287" s="67"/>
    </row>
    <row r="288" spans="15:73" x14ac:dyDescent="0.2"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  <c r="AV288" s="67"/>
      <c r="AW288" s="67"/>
      <c r="AX288" s="67"/>
      <c r="AY288" s="67"/>
      <c r="AZ288" s="67"/>
      <c r="BA288" s="67"/>
      <c r="BB288" s="67"/>
      <c r="BC288" s="67"/>
      <c r="BD288" s="67"/>
      <c r="BE288" s="67"/>
      <c r="BF288" s="67"/>
      <c r="BG288" s="67"/>
      <c r="BH288" s="67"/>
      <c r="BI288" s="67"/>
      <c r="BJ288" s="67"/>
      <c r="BK288" s="67"/>
      <c r="BL288" s="67"/>
      <c r="BM288" s="67"/>
      <c r="BN288" s="67"/>
      <c r="BO288" s="67"/>
      <c r="BP288" s="67"/>
      <c r="BQ288" s="67"/>
      <c r="BR288" s="67"/>
      <c r="BS288" s="67"/>
      <c r="BT288" s="67"/>
      <c r="BU288" s="67"/>
    </row>
    <row r="289" spans="15:73" x14ac:dyDescent="0.2"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  <c r="AV289" s="67"/>
      <c r="AW289" s="67"/>
      <c r="AX289" s="67"/>
      <c r="AY289" s="67"/>
      <c r="AZ289" s="67"/>
      <c r="BA289" s="67"/>
      <c r="BB289" s="67"/>
      <c r="BC289" s="67"/>
      <c r="BD289" s="67"/>
      <c r="BE289" s="67"/>
      <c r="BF289" s="67"/>
      <c r="BG289" s="67"/>
      <c r="BH289" s="67"/>
      <c r="BI289" s="67"/>
      <c r="BJ289" s="67"/>
      <c r="BK289" s="67"/>
      <c r="BL289" s="67"/>
      <c r="BM289" s="67"/>
      <c r="BN289" s="67"/>
      <c r="BO289" s="67"/>
      <c r="BP289" s="67"/>
      <c r="BQ289" s="67"/>
      <c r="BR289" s="67"/>
      <c r="BS289" s="67"/>
      <c r="BT289" s="67"/>
      <c r="BU289" s="67"/>
    </row>
    <row r="290" spans="15:73" x14ac:dyDescent="0.2"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  <c r="AV290" s="67"/>
      <c r="AW290" s="67"/>
      <c r="AX290" s="67"/>
      <c r="AY290" s="67"/>
      <c r="AZ290" s="67"/>
      <c r="BA290" s="67"/>
      <c r="BB290" s="67"/>
      <c r="BC290" s="67"/>
      <c r="BD290" s="67"/>
      <c r="BE290" s="67"/>
      <c r="BF290" s="67"/>
      <c r="BG290" s="67"/>
      <c r="BH290" s="67"/>
      <c r="BI290" s="67"/>
      <c r="BJ290" s="67"/>
      <c r="BK290" s="67"/>
      <c r="BL290" s="67"/>
      <c r="BM290" s="67"/>
      <c r="BN290" s="67"/>
      <c r="BO290" s="67"/>
      <c r="BP290" s="67"/>
      <c r="BQ290" s="67"/>
      <c r="BR290" s="67"/>
      <c r="BS290" s="67"/>
      <c r="BT290" s="67"/>
      <c r="BU290" s="67"/>
    </row>
    <row r="291" spans="15:73" x14ac:dyDescent="0.2"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67"/>
      <c r="BN291" s="67"/>
      <c r="BO291" s="67"/>
      <c r="BP291" s="67"/>
      <c r="BQ291" s="67"/>
      <c r="BR291" s="67"/>
      <c r="BS291" s="67"/>
      <c r="BT291" s="67"/>
      <c r="BU291" s="67"/>
    </row>
    <row r="292" spans="15:73" x14ac:dyDescent="0.2"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67"/>
      <c r="AL292" s="67"/>
      <c r="AM292" s="67"/>
      <c r="AN292" s="67"/>
      <c r="AO292" s="67"/>
      <c r="AP292" s="67"/>
      <c r="AQ292" s="67"/>
      <c r="AR292" s="67"/>
      <c r="AS292" s="67"/>
      <c r="AT292" s="67"/>
      <c r="AU292" s="67"/>
      <c r="AV292" s="67"/>
      <c r="AW292" s="67"/>
      <c r="AX292" s="67"/>
      <c r="AY292" s="67"/>
      <c r="AZ292" s="67"/>
      <c r="BA292" s="67"/>
      <c r="BB292" s="67"/>
      <c r="BC292" s="67"/>
      <c r="BD292" s="67"/>
      <c r="BE292" s="67"/>
      <c r="BF292" s="67"/>
      <c r="BG292" s="67"/>
      <c r="BH292" s="67"/>
      <c r="BI292" s="67"/>
      <c r="BJ292" s="67"/>
      <c r="BK292" s="67"/>
      <c r="BL292" s="67"/>
      <c r="BM292" s="67"/>
      <c r="BN292" s="67"/>
      <c r="BO292" s="67"/>
      <c r="BP292" s="67"/>
      <c r="BQ292" s="67"/>
      <c r="BR292" s="67"/>
      <c r="BS292" s="67"/>
      <c r="BT292" s="67"/>
      <c r="BU292" s="67"/>
    </row>
    <row r="293" spans="15:73" x14ac:dyDescent="0.2"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  <c r="AV293" s="67"/>
      <c r="AW293" s="67"/>
      <c r="AX293" s="67"/>
      <c r="AY293" s="67"/>
      <c r="AZ293" s="67"/>
      <c r="BA293" s="67"/>
      <c r="BB293" s="67"/>
      <c r="BC293" s="67"/>
      <c r="BD293" s="67"/>
      <c r="BE293" s="67"/>
      <c r="BF293" s="67"/>
      <c r="BG293" s="67"/>
      <c r="BH293" s="67"/>
      <c r="BI293" s="67"/>
      <c r="BJ293" s="67"/>
      <c r="BK293" s="67"/>
      <c r="BL293" s="67"/>
      <c r="BM293" s="67"/>
      <c r="BN293" s="67"/>
      <c r="BO293" s="67"/>
      <c r="BP293" s="67"/>
      <c r="BQ293" s="67"/>
      <c r="BR293" s="67"/>
      <c r="BS293" s="67"/>
      <c r="BT293" s="67"/>
      <c r="BU293" s="67"/>
    </row>
    <row r="294" spans="15:73" x14ac:dyDescent="0.2"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  <c r="AF294" s="67"/>
      <c r="AG294" s="67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67"/>
      <c r="BA294" s="67"/>
      <c r="BB294" s="67"/>
      <c r="BC294" s="67"/>
      <c r="BD294" s="67"/>
      <c r="BE294" s="67"/>
      <c r="BF294" s="67"/>
      <c r="BG294" s="67"/>
      <c r="BH294" s="67"/>
      <c r="BI294" s="67"/>
      <c r="BJ294" s="67"/>
      <c r="BK294" s="67"/>
      <c r="BL294" s="67"/>
      <c r="BM294" s="67"/>
      <c r="BN294" s="67"/>
      <c r="BO294" s="67"/>
      <c r="BP294" s="67"/>
      <c r="BQ294" s="67"/>
      <c r="BR294" s="67"/>
      <c r="BS294" s="67"/>
      <c r="BT294" s="67"/>
      <c r="BU294" s="67"/>
    </row>
    <row r="295" spans="15:73" x14ac:dyDescent="0.2"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  <c r="AV295" s="67"/>
      <c r="AW295" s="67"/>
      <c r="AX295" s="67"/>
      <c r="AY295" s="67"/>
      <c r="AZ295" s="67"/>
      <c r="BA295" s="67"/>
      <c r="BB295" s="67"/>
      <c r="BC295" s="67"/>
      <c r="BD295" s="67"/>
      <c r="BE295" s="67"/>
      <c r="BF295" s="67"/>
      <c r="BG295" s="67"/>
      <c r="BH295" s="67"/>
      <c r="BI295" s="67"/>
      <c r="BJ295" s="67"/>
      <c r="BK295" s="67"/>
      <c r="BL295" s="67"/>
      <c r="BM295" s="67"/>
      <c r="BN295" s="67"/>
      <c r="BO295" s="67"/>
      <c r="BP295" s="67"/>
      <c r="BQ295" s="67"/>
      <c r="BR295" s="67"/>
      <c r="BS295" s="67"/>
      <c r="BT295" s="67"/>
      <c r="BU295" s="67"/>
    </row>
    <row r="296" spans="15:73" x14ac:dyDescent="0.2"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67"/>
      <c r="BM296" s="67"/>
      <c r="BN296" s="67"/>
      <c r="BO296" s="67"/>
      <c r="BP296" s="67"/>
      <c r="BQ296" s="67"/>
      <c r="BR296" s="67"/>
      <c r="BS296" s="67"/>
      <c r="BT296" s="67"/>
      <c r="BU296" s="67"/>
    </row>
    <row r="297" spans="15:73" x14ac:dyDescent="0.2"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67"/>
      <c r="BM297" s="67"/>
      <c r="BN297" s="67"/>
      <c r="BO297" s="67"/>
      <c r="BP297" s="67"/>
      <c r="BQ297" s="67"/>
      <c r="BR297" s="67"/>
      <c r="BS297" s="67"/>
      <c r="BT297" s="67"/>
      <c r="BU297" s="67"/>
    </row>
    <row r="298" spans="15:73" x14ac:dyDescent="0.2"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  <c r="AV298" s="67"/>
      <c r="AW298" s="67"/>
      <c r="AX298" s="67"/>
      <c r="AY298" s="67"/>
      <c r="AZ298" s="67"/>
      <c r="BA298" s="67"/>
      <c r="BB298" s="67"/>
      <c r="BC298" s="67"/>
      <c r="BD298" s="67"/>
      <c r="BE298" s="67"/>
      <c r="BF298" s="67"/>
      <c r="BG298" s="67"/>
      <c r="BH298" s="67"/>
      <c r="BI298" s="67"/>
      <c r="BJ298" s="67"/>
      <c r="BK298" s="67"/>
      <c r="BL298" s="67"/>
      <c r="BM298" s="67"/>
      <c r="BN298" s="67"/>
      <c r="BO298" s="67"/>
      <c r="BP298" s="67"/>
      <c r="BQ298" s="67"/>
      <c r="BR298" s="67"/>
      <c r="BS298" s="67"/>
      <c r="BT298" s="67"/>
      <c r="BU298" s="67"/>
    </row>
    <row r="299" spans="15:73" x14ac:dyDescent="0.2"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  <c r="BB299" s="67"/>
      <c r="BC299" s="67"/>
      <c r="BD299" s="67"/>
      <c r="BE299" s="67"/>
      <c r="BF299" s="67"/>
      <c r="BG299" s="67"/>
      <c r="BH299" s="67"/>
      <c r="BI299" s="67"/>
      <c r="BJ299" s="67"/>
      <c r="BK299" s="67"/>
      <c r="BL299" s="67"/>
      <c r="BM299" s="67"/>
      <c r="BN299" s="67"/>
      <c r="BO299" s="67"/>
      <c r="BP299" s="67"/>
      <c r="BQ299" s="67"/>
      <c r="BR299" s="67"/>
      <c r="BS299" s="67"/>
      <c r="BT299" s="67"/>
      <c r="BU299" s="67"/>
    </row>
    <row r="300" spans="15:73" x14ac:dyDescent="0.2"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  <c r="AF300" s="67"/>
      <c r="AG300" s="67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  <c r="AV300" s="67"/>
      <c r="AW300" s="67"/>
      <c r="AX300" s="67"/>
      <c r="AY300" s="67"/>
      <c r="AZ300" s="67"/>
      <c r="BA300" s="67"/>
      <c r="BB300" s="67"/>
      <c r="BC300" s="67"/>
      <c r="BD300" s="67"/>
      <c r="BE300" s="67"/>
      <c r="BF300" s="67"/>
      <c r="BG300" s="67"/>
      <c r="BH300" s="67"/>
      <c r="BI300" s="67"/>
      <c r="BJ300" s="67"/>
      <c r="BK300" s="67"/>
      <c r="BL300" s="67"/>
      <c r="BM300" s="67"/>
      <c r="BN300" s="67"/>
      <c r="BO300" s="67"/>
      <c r="BP300" s="67"/>
      <c r="BQ300" s="67"/>
      <c r="BR300" s="67"/>
      <c r="BS300" s="67"/>
      <c r="BT300" s="67"/>
      <c r="BU300" s="67"/>
    </row>
    <row r="301" spans="15:73" x14ac:dyDescent="0.2"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  <c r="AV301" s="67"/>
      <c r="AW301" s="67"/>
      <c r="AX301" s="67"/>
      <c r="AY301" s="67"/>
      <c r="AZ301" s="67"/>
      <c r="BA301" s="67"/>
      <c r="BB301" s="67"/>
      <c r="BC301" s="67"/>
      <c r="BD301" s="67"/>
      <c r="BE301" s="67"/>
      <c r="BF301" s="67"/>
      <c r="BG301" s="67"/>
      <c r="BH301" s="67"/>
      <c r="BI301" s="67"/>
      <c r="BJ301" s="67"/>
      <c r="BK301" s="67"/>
      <c r="BL301" s="67"/>
      <c r="BM301" s="67"/>
      <c r="BN301" s="67"/>
      <c r="BO301" s="67"/>
      <c r="BP301" s="67"/>
      <c r="BQ301" s="67"/>
      <c r="BR301" s="67"/>
      <c r="BS301" s="67"/>
      <c r="BT301" s="67"/>
      <c r="BU301" s="67"/>
    </row>
    <row r="302" spans="15:73" x14ac:dyDescent="0.2"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  <c r="AV302" s="67"/>
      <c r="AW302" s="67"/>
      <c r="AX302" s="67"/>
      <c r="AY302" s="67"/>
      <c r="AZ302" s="67"/>
      <c r="BA302" s="67"/>
      <c r="BB302" s="67"/>
      <c r="BC302" s="67"/>
      <c r="BD302" s="67"/>
      <c r="BE302" s="67"/>
      <c r="BF302" s="67"/>
      <c r="BG302" s="67"/>
      <c r="BH302" s="67"/>
      <c r="BI302" s="67"/>
      <c r="BJ302" s="67"/>
      <c r="BK302" s="67"/>
      <c r="BL302" s="67"/>
      <c r="BM302" s="67"/>
      <c r="BN302" s="67"/>
      <c r="BO302" s="67"/>
      <c r="BP302" s="67"/>
      <c r="BQ302" s="67"/>
      <c r="BR302" s="67"/>
      <c r="BS302" s="67"/>
      <c r="BT302" s="67"/>
      <c r="BU302" s="67"/>
    </row>
    <row r="303" spans="15:73" x14ac:dyDescent="0.2"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  <c r="AV303" s="67"/>
      <c r="AW303" s="67"/>
      <c r="AX303" s="67"/>
      <c r="AY303" s="67"/>
      <c r="AZ303" s="67"/>
      <c r="BA303" s="67"/>
      <c r="BB303" s="67"/>
      <c r="BC303" s="67"/>
      <c r="BD303" s="67"/>
      <c r="BE303" s="67"/>
      <c r="BF303" s="67"/>
      <c r="BG303" s="67"/>
      <c r="BH303" s="67"/>
      <c r="BI303" s="67"/>
      <c r="BJ303" s="67"/>
      <c r="BK303" s="67"/>
      <c r="BL303" s="67"/>
      <c r="BM303" s="67"/>
      <c r="BN303" s="67"/>
      <c r="BO303" s="67"/>
      <c r="BP303" s="67"/>
      <c r="BQ303" s="67"/>
      <c r="BR303" s="67"/>
      <c r="BS303" s="67"/>
      <c r="BT303" s="67"/>
      <c r="BU303" s="67"/>
    </row>
    <row r="304" spans="15:73" x14ac:dyDescent="0.2"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  <c r="AV304" s="67"/>
      <c r="AW304" s="67"/>
      <c r="AX304" s="67"/>
      <c r="AY304" s="67"/>
      <c r="AZ304" s="67"/>
      <c r="BA304" s="67"/>
      <c r="BB304" s="67"/>
      <c r="BC304" s="67"/>
      <c r="BD304" s="67"/>
      <c r="BE304" s="67"/>
      <c r="BF304" s="67"/>
      <c r="BG304" s="67"/>
      <c r="BH304" s="67"/>
      <c r="BI304" s="67"/>
      <c r="BJ304" s="67"/>
      <c r="BK304" s="67"/>
      <c r="BL304" s="67"/>
      <c r="BM304" s="67"/>
      <c r="BN304" s="67"/>
      <c r="BO304" s="67"/>
      <c r="BP304" s="67"/>
      <c r="BQ304" s="67"/>
      <c r="BR304" s="67"/>
      <c r="BS304" s="67"/>
      <c r="BT304" s="67"/>
      <c r="BU304" s="67"/>
    </row>
    <row r="305" spans="15:73" x14ac:dyDescent="0.2"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  <c r="AV305" s="67"/>
      <c r="AW305" s="67"/>
      <c r="AX305" s="67"/>
      <c r="AY305" s="67"/>
      <c r="AZ305" s="67"/>
      <c r="BA305" s="67"/>
      <c r="BB305" s="67"/>
      <c r="BC305" s="67"/>
      <c r="BD305" s="67"/>
      <c r="BE305" s="67"/>
      <c r="BF305" s="67"/>
      <c r="BG305" s="67"/>
      <c r="BH305" s="67"/>
      <c r="BI305" s="67"/>
      <c r="BJ305" s="67"/>
      <c r="BK305" s="67"/>
      <c r="BL305" s="67"/>
      <c r="BM305" s="67"/>
      <c r="BN305" s="67"/>
      <c r="BO305" s="67"/>
      <c r="BP305" s="67"/>
      <c r="BQ305" s="67"/>
      <c r="BR305" s="67"/>
      <c r="BS305" s="67"/>
      <c r="BT305" s="67"/>
      <c r="BU305" s="67"/>
    </row>
    <row r="306" spans="15:73" x14ac:dyDescent="0.2"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  <c r="AV306" s="67"/>
      <c r="AW306" s="67"/>
      <c r="AX306" s="67"/>
      <c r="AY306" s="67"/>
      <c r="AZ306" s="67"/>
      <c r="BA306" s="67"/>
      <c r="BB306" s="67"/>
      <c r="BC306" s="67"/>
      <c r="BD306" s="67"/>
      <c r="BE306" s="67"/>
      <c r="BF306" s="67"/>
      <c r="BG306" s="67"/>
      <c r="BH306" s="67"/>
      <c r="BI306" s="67"/>
      <c r="BJ306" s="67"/>
      <c r="BK306" s="67"/>
      <c r="BL306" s="67"/>
      <c r="BM306" s="67"/>
      <c r="BN306" s="67"/>
      <c r="BO306" s="67"/>
      <c r="BP306" s="67"/>
      <c r="BQ306" s="67"/>
      <c r="BR306" s="67"/>
      <c r="BS306" s="67"/>
      <c r="BT306" s="67"/>
      <c r="BU306" s="67"/>
    </row>
    <row r="307" spans="15:73" x14ac:dyDescent="0.2"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  <c r="AV307" s="67"/>
      <c r="AW307" s="67"/>
      <c r="AX307" s="67"/>
      <c r="AY307" s="67"/>
      <c r="AZ307" s="67"/>
      <c r="BA307" s="67"/>
      <c r="BB307" s="67"/>
      <c r="BC307" s="67"/>
      <c r="BD307" s="67"/>
      <c r="BE307" s="67"/>
      <c r="BF307" s="67"/>
      <c r="BG307" s="67"/>
      <c r="BH307" s="67"/>
      <c r="BI307" s="67"/>
      <c r="BJ307" s="67"/>
      <c r="BK307" s="67"/>
      <c r="BL307" s="67"/>
      <c r="BM307" s="67"/>
      <c r="BN307" s="67"/>
      <c r="BO307" s="67"/>
      <c r="BP307" s="67"/>
      <c r="BQ307" s="67"/>
      <c r="BR307" s="67"/>
      <c r="BS307" s="67"/>
      <c r="BT307" s="67"/>
      <c r="BU307" s="67"/>
    </row>
    <row r="308" spans="15:73" x14ac:dyDescent="0.2"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  <c r="AV308" s="67"/>
      <c r="AW308" s="67"/>
      <c r="AX308" s="67"/>
      <c r="AY308" s="67"/>
      <c r="AZ308" s="67"/>
      <c r="BA308" s="67"/>
      <c r="BB308" s="67"/>
      <c r="BC308" s="67"/>
      <c r="BD308" s="67"/>
      <c r="BE308" s="67"/>
      <c r="BF308" s="67"/>
      <c r="BG308" s="67"/>
      <c r="BH308" s="67"/>
      <c r="BI308" s="67"/>
      <c r="BJ308" s="67"/>
      <c r="BK308" s="67"/>
      <c r="BL308" s="67"/>
      <c r="BM308" s="67"/>
      <c r="BN308" s="67"/>
      <c r="BO308" s="67"/>
      <c r="BP308" s="67"/>
      <c r="BQ308" s="67"/>
      <c r="BR308" s="67"/>
      <c r="BS308" s="67"/>
      <c r="BT308" s="67"/>
      <c r="BU308" s="67"/>
    </row>
    <row r="309" spans="15:73" x14ac:dyDescent="0.2"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  <c r="AV309" s="67"/>
      <c r="AW309" s="67"/>
      <c r="AX309" s="67"/>
      <c r="AY309" s="67"/>
      <c r="AZ309" s="67"/>
      <c r="BA309" s="67"/>
      <c r="BB309" s="67"/>
      <c r="BC309" s="67"/>
      <c r="BD309" s="67"/>
      <c r="BE309" s="67"/>
      <c r="BF309" s="67"/>
      <c r="BG309" s="67"/>
      <c r="BH309" s="67"/>
      <c r="BI309" s="67"/>
      <c r="BJ309" s="67"/>
      <c r="BK309" s="67"/>
      <c r="BL309" s="67"/>
      <c r="BM309" s="67"/>
      <c r="BN309" s="67"/>
      <c r="BO309" s="67"/>
      <c r="BP309" s="67"/>
      <c r="BQ309" s="67"/>
      <c r="BR309" s="67"/>
      <c r="BS309" s="67"/>
      <c r="BT309" s="67"/>
      <c r="BU309" s="67"/>
    </row>
    <row r="310" spans="15:73" x14ac:dyDescent="0.2"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  <c r="AV310" s="67"/>
      <c r="AW310" s="67"/>
      <c r="AX310" s="67"/>
      <c r="AY310" s="67"/>
      <c r="AZ310" s="67"/>
      <c r="BA310" s="67"/>
      <c r="BB310" s="67"/>
      <c r="BC310" s="67"/>
      <c r="BD310" s="67"/>
      <c r="BE310" s="67"/>
      <c r="BF310" s="67"/>
      <c r="BG310" s="67"/>
      <c r="BH310" s="67"/>
      <c r="BI310" s="67"/>
      <c r="BJ310" s="67"/>
      <c r="BK310" s="67"/>
      <c r="BL310" s="67"/>
      <c r="BM310" s="67"/>
      <c r="BN310" s="67"/>
      <c r="BO310" s="67"/>
      <c r="BP310" s="67"/>
      <c r="BQ310" s="67"/>
      <c r="BR310" s="67"/>
      <c r="BS310" s="67"/>
      <c r="BT310" s="67"/>
      <c r="BU310" s="67"/>
    </row>
    <row r="311" spans="15:73" x14ac:dyDescent="0.2"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  <c r="AV311" s="67"/>
      <c r="AW311" s="67"/>
      <c r="AX311" s="67"/>
      <c r="AY311" s="67"/>
      <c r="AZ311" s="67"/>
      <c r="BA311" s="67"/>
      <c r="BB311" s="67"/>
      <c r="BC311" s="67"/>
      <c r="BD311" s="67"/>
      <c r="BE311" s="67"/>
      <c r="BF311" s="67"/>
      <c r="BG311" s="67"/>
      <c r="BH311" s="67"/>
      <c r="BI311" s="67"/>
      <c r="BJ311" s="67"/>
      <c r="BK311" s="67"/>
      <c r="BL311" s="67"/>
      <c r="BM311" s="67"/>
      <c r="BN311" s="67"/>
      <c r="BO311" s="67"/>
      <c r="BP311" s="67"/>
      <c r="BQ311" s="67"/>
      <c r="BR311" s="67"/>
      <c r="BS311" s="67"/>
      <c r="BT311" s="67"/>
      <c r="BU311" s="67"/>
    </row>
    <row r="312" spans="15:73" x14ac:dyDescent="0.2"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  <c r="AV312" s="67"/>
      <c r="AW312" s="67"/>
      <c r="AX312" s="67"/>
      <c r="AY312" s="67"/>
      <c r="AZ312" s="67"/>
      <c r="BA312" s="67"/>
      <c r="BB312" s="67"/>
      <c r="BC312" s="67"/>
      <c r="BD312" s="67"/>
      <c r="BE312" s="67"/>
      <c r="BF312" s="67"/>
      <c r="BG312" s="67"/>
      <c r="BH312" s="67"/>
      <c r="BI312" s="67"/>
      <c r="BJ312" s="67"/>
      <c r="BK312" s="67"/>
      <c r="BL312" s="67"/>
      <c r="BM312" s="67"/>
      <c r="BN312" s="67"/>
      <c r="BO312" s="67"/>
      <c r="BP312" s="67"/>
      <c r="BQ312" s="67"/>
      <c r="BR312" s="67"/>
      <c r="BS312" s="67"/>
      <c r="BT312" s="67"/>
      <c r="BU312" s="67"/>
    </row>
    <row r="313" spans="15:73" x14ac:dyDescent="0.2"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  <c r="AV313" s="67"/>
      <c r="AW313" s="67"/>
      <c r="AX313" s="67"/>
      <c r="AY313" s="67"/>
      <c r="AZ313" s="67"/>
      <c r="BA313" s="67"/>
      <c r="BB313" s="67"/>
      <c r="BC313" s="67"/>
      <c r="BD313" s="67"/>
      <c r="BE313" s="67"/>
      <c r="BF313" s="67"/>
      <c r="BG313" s="67"/>
      <c r="BH313" s="67"/>
      <c r="BI313" s="67"/>
      <c r="BJ313" s="67"/>
      <c r="BK313" s="67"/>
      <c r="BL313" s="67"/>
      <c r="BM313" s="67"/>
      <c r="BN313" s="67"/>
      <c r="BO313" s="67"/>
      <c r="BP313" s="67"/>
      <c r="BQ313" s="67"/>
      <c r="BR313" s="67"/>
      <c r="BS313" s="67"/>
      <c r="BT313" s="67"/>
      <c r="BU313" s="67"/>
    </row>
    <row r="314" spans="15:73" x14ac:dyDescent="0.2"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  <c r="AV314" s="67"/>
      <c r="AW314" s="67"/>
      <c r="AX314" s="67"/>
      <c r="AY314" s="67"/>
      <c r="AZ314" s="67"/>
      <c r="BA314" s="67"/>
      <c r="BB314" s="67"/>
      <c r="BC314" s="67"/>
      <c r="BD314" s="67"/>
      <c r="BE314" s="67"/>
      <c r="BF314" s="67"/>
      <c r="BG314" s="67"/>
      <c r="BH314" s="67"/>
      <c r="BI314" s="67"/>
      <c r="BJ314" s="67"/>
      <c r="BK314" s="67"/>
      <c r="BL314" s="67"/>
      <c r="BM314" s="67"/>
      <c r="BN314" s="67"/>
      <c r="BO314" s="67"/>
      <c r="BP314" s="67"/>
      <c r="BQ314" s="67"/>
      <c r="BR314" s="67"/>
      <c r="BS314" s="67"/>
      <c r="BT314" s="67"/>
      <c r="BU314" s="67"/>
    </row>
    <row r="315" spans="15:73" x14ac:dyDescent="0.2"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  <c r="AV315" s="67"/>
      <c r="AW315" s="67"/>
      <c r="AX315" s="67"/>
      <c r="AY315" s="67"/>
      <c r="AZ315" s="67"/>
      <c r="BA315" s="67"/>
      <c r="BB315" s="67"/>
      <c r="BC315" s="67"/>
      <c r="BD315" s="67"/>
      <c r="BE315" s="67"/>
      <c r="BF315" s="67"/>
      <c r="BG315" s="67"/>
      <c r="BH315" s="67"/>
      <c r="BI315" s="67"/>
      <c r="BJ315" s="67"/>
      <c r="BK315" s="67"/>
      <c r="BL315" s="67"/>
      <c r="BM315" s="67"/>
      <c r="BN315" s="67"/>
      <c r="BO315" s="67"/>
      <c r="BP315" s="67"/>
      <c r="BQ315" s="67"/>
      <c r="BR315" s="67"/>
      <c r="BS315" s="67"/>
      <c r="BT315" s="67"/>
      <c r="BU315" s="67"/>
    </row>
    <row r="316" spans="15:73" x14ac:dyDescent="0.2"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  <c r="AV316" s="67"/>
      <c r="AW316" s="67"/>
      <c r="AX316" s="67"/>
      <c r="AY316" s="67"/>
      <c r="AZ316" s="67"/>
      <c r="BA316" s="67"/>
      <c r="BB316" s="67"/>
      <c r="BC316" s="67"/>
      <c r="BD316" s="67"/>
      <c r="BE316" s="67"/>
      <c r="BF316" s="67"/>
      <c r="BG316" s="67"/>
      <c r="BH316" s="67"/>
      <c r="BI316" s="67"/>
      <c r="BJ316" s="67"/>
      <c r="BK316" s="67"/>
      <c r="BL316" s="67"/>
      <c r="BM316" s="67"/>
      <c r="BN316" s="67"/>
      <c r="BO316" s="67"/>
      <c r="BP316" s="67"/>
      <c r="BQ316" s="67"/>
      <c r="BR316" s="67"/>
      <c r="BS316" s="67"/>
      <c r="BT316" s="67"/>
      <c r="BU316" s="67"/>
    </row>
    <row r="317" spans="15:73" x14ac:dyDescent="0.2"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  <c r="AV317" s="67"/>
      <c r="AW317" s="67"/>
      <c r="AX317" s="67"/>
      <c r="AY317" s="67"/>
      <c r="AZ317" s="67"/>
      <c r="BA317" s="67"/>
      <c r="BB317" s="67"/>
      <c r="BC317" s="67"/>
      <c r="BD317" s="67"/>
      <c r="BE317" s="67"/>
      <c r="BF317" s="67"/>
      <c r="BG317" s="67"/>
      <c r="BH317" s="67"/>
      <c r="BI317" s="67"/>
      <c r="BJ317" s="67"/>
      <c r="BK317" s="67"/>
      <c r="BL317" s="67"/>
      <c r="BM317" s="67"/>
      <c r="BN317" s="67"/>
      <c r="BO317" s="67"/>
      <c r="BP317" s="67"/>
      <c r="BQ317" s="67"/>
      <c r="BR317" s="67"/>
      <c r="BS317" s="67"/>
      <c r="BT317" s="67"/>
      <c r="BU317" s="67"/>
    </row>
    <row r="318" spans="15:73" x14ac:dyDescent="0.2"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67"/>
      <c r="BM318" s="67"/>
      <c r="BN318" s="67"/>
      <c r="BO318" s="67"/>
      <c r="BP318" s="67"/>
      <c r="BQ318" s="67"/>
      <c r="BR318" s="67"/>
      <c r="BS318" s="67"/>
      <c r="BT318" s="67"/>
      <c r="BU318" s="67"/>
    </row>
    <row r="319" spans="15:73" x14ac:dyDescent="0.2"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67"/>
      <c r="BM319" s="67"/>
      <c r="BN319" s="67"/>
      <c r="BO319" s="67"/>
      <c r="BP319" s="67"/>
      <c r="BQ319" s="67"/>
      <c r="BR319" s="67"/>
      <c r="BS319" s="67"/>
      <c r="BT319" s="67"/>
      <c r="BU319" s="67"/>
    </row>
    <row r="320" spans="15:73" x14ac:dyDescent="0.2"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67"/>
      <c r="BM320" s="67"/>
      <c r="BN320" s="67"/>
      <c r="BO320" s="67"/>
      <c r="BP320" s="67"/>
      <c r="BQ320" s="67"/>
      <c r="BR320" s="67"/>
      <c r="BS320" s="67"/>
      <c r="BT320" s="67"/>
      <c r="BU320" s="67"/>
    </row>
    <row r="321" spans="15:73" x14ac:dyDescent="0.2"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  <c r="BM321" s="67"/>
      <c r="BN321" s="67"/>
      <c r="BO321" s="67"/>
      <c r="BP321" s="67"/>
      <c r="BQ321" s="67"/>
      <c r="BR321" s="67"/>
      <c r="BS321" s="67"/>
      <c r="BT321" s="67"/>
      <c r="BU321" s="67"/>
    </row>
    <row r="322" spans="15:73" x14ac:dyDescent="0.2"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67"/>
      <c r="BM322" s="67"/>
      <c r="BN322" s="67"/>
      <c r="BO322" s="67"/>
      <c r="BP322" s="67"/>
      <c r="BQ322" s="67"/>
      <c r="BR322" s="67"/>
      <c r="BS322" s="67"/>
      <c r="BT322" s="67"/>
      <c r="BU322" s="67"/>
    </row>
    <row r="323" spans="15:73" x14ac:dyDescent="0.2"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  <c r="AV323" s="67"/>
      <c r="AW323" s="67"/>
      <c r="AX323" s="67"/>
      <c r="AY323" s="67"/>
      <c r="AZ323" s="67"/>
      <c r="BA323" s="67"/>
      <c r="BB323" s="67"/>
      <c r="BC323" s="67"/>
      <c r="BD323" s="67"/>
      <c r="BE323" s="67"/>
      <c r="BF323" s="67"/>
      <c r="BG323" s="67"/>
      <c r="BH323" s="67"/>
      <c r="BI323" s="67"/>
      <c r="BJ323" s="67"/>
      <c r="BK323" s="67"/>
      <c r="BL323" s="67"/>
      <c r="BM323" s="67"/>
      <c r="BN323" s="67"/>
      <c r="BO323" s="67"/>
      <c r="BP323" s="67"/>
      <c r="BQ323" s="67"/>
      <c r="BR323" s="67"/>
      <c r="BS323" s="67"/>
      <c r="BT323" s="67"/>
      <c r="BU323" s="67"/>
    </row>
    <row r="324" spans="15:73" x14ac:dyDescent="0.2"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  <c r="AV324" s="67"/>
      <c r="AW324" s="67"/>
      <c r="AX324" s="67"/>
      <c r="AY324" s="67"/>
      <c r="AZ324" s="67"/>
      <c r="BA324" s="67"/>
      <c r="BB324" s="67"/>
      <c r="BC324" s="67"/>
      <c r="BD324" s="67"/>
      <c r="BE324" s="67"/>
      <c r="BF324" s="67"/>
      <c r="BG324" s="67"/>
      <c r="BH324" s="67"/>
      <c r="BI324" s="67"/>
      <c r="BJ324" s="67"/>
      <c r="BK324" s="67"/>
      <c r="BL324" s="67"/>
      <c r="BM324" s="67"/>
      <c r="BN324" s="67"/>
      <c r="BO324" s="67"/>
      <c r="BP324" s="67"/>
      <c r="BQ324" s="67"/>
      <c r="BR324" s="67"/>
      <c r="BS324" s="67"/>
      <c r="BT324" s="67"/>
      <c r="BU324" s="67"/>
    </row>
    <row r="325" spans="15:73" x14ac:dyDescent="0.2"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  <c r="AI325" s="67"/>
      <c r="AJ325" s="67"/>
      <c r="AK325" s="67"/>
      <c r="AL325" s="67"/>
      <c r="AM325" s="67"/>
      <c r="AN325" s="67"/>
      <c r="AO325" s="67"/>
      <c r="AP325" s="67"/>
      <c r="AQ325" s="67"/>
      <c r="AR325" s="67"/>
      <c r="AS325" s="67"/>
      <c r="AT325" s="67"/>
      <c r="AU325" s="67"/>
      <c r="AV325" s="67"/>
      <c r="AW325" s="67"/>
      <c r="AX325" s="67"/>
      <c r="AY325" s="67"/>
      <c r="AZ325" s="67"/>
      <c r="BA325" s="67"/>
      <c r="BB325" s="67"/>
      <c r="BC325" s="67"/>
      <c r="BD325" s="67"/>
      <c r="BE325" s="67"/>
      <c r="BF325" s="67"/>
      <c r="BG325" s="67"/>
      <c r="BH325" s="67"/>
      <c r="BI325" s="67"/>
      <c r="BJ325" s="67"/>
      <c r="BK325" s="67"/>
      <c r="BL325" s="67"/>
      <c r="BM325" s="67"/>
      <c r="BN325" s="67"/>
      <c r="BO325" s="67"/>
      <c r="BP325" s="67"/>
      <c r="BQ325" s="67"/>
      <c r="BR325" s="67"/>
      <c r="BS325" s="67"/>
      <c r="BT325" s="67"/>
      <c r="BU325" s="67"/>
    </row>
    <row r="326" spans="15:73" x14ac:dyDescent="0.2"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  <c r="AV326" s="67"/>
      <c r="AW326" s="67"/>
      <c r="AX326" s="67"/>
      <c r="AY326" s="67"/>
      <c r="AZ326" s="67"/>
      <c r="BA326" s="67"/>
      <c r="BB326" s="67"/>
      <c r="BC326" s="67"/>
      <c r="BD326" s="67"/>
      <c r="BE326" s="67"/>
      <c r="BF326" s="67"/>
      <c r="BG326" s="67"/>
      <c r="BH326" s="67"/>
      <c r="BI326" s="67"/>
      <c r="BJ326" s="67"/>
      <c r="BK326" s="67"/>
      <c r="BL326" s="67"/>
      <c r="BM326" s="67"/>
      <c r="BN326" s="67"/>
      <c r="BO326" s="67"/>
      <c r="BP326" s="67"/>
      <c r="BQ326" s="67"/>
      <c r="BR326" s="67"/>
      <c r="BS326" s="67"/>
      <c r="BT326" s="67"/>
      <c r="BU326" s="67"/>
    </row>
    <row r="327" spans="15:73" x14ac:dyDescent="0.2"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  <c r="AV327" s="67"/>
      <c r="AW327" s="67"/>
      <c r="AX327" s="67"/>
      <c r="AY327" s="67"/>
      <c r="AZ327" s="67"/>
      <c r="BA327" s="67"/>
      <c r="BB327" s="67"/>
      <c r="BC327" s="67"/>
      <c r="BD327" s="67"/>
      <c r="BE327" s="67"/>
      <c r="BF327" s="67"/>
      <c r="BG327" s="67"/>
      <c r="BH327" s="67"/>
      <c r="BI327" s="67"/>
      <c r="BJ327" s="67"/>
      <c r="BK327" s="67"/>
      <c r="BL327" s="67"/>
      <c r="BM327" s="67"/>
      <c r="BN327" s="67"/>
      <c r="BO327" s="67"/>
      <c r="BP327" s="67"/>
      <c r="BQ327" s="67"/>
      <c r="BR327" s="67"/>
      <c r="BS327" s="67"/>
      <c r="BT327" s="67"/>
      <c r="BU327" s="67"/>
    </row>
    <row r="328" spans="15:73" x14ac:dyDescent="0.2"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  <c r="AV328" s="67"/>
      <c r="AW328" s="67"/>
      <c r="AX328" s="67"/>
      <c r="AY328" s="67"/>
      <c r="AZ328" s="67"/>
      <c r="BA328" s="67"/>
      <c r="BB328" s="67"/>
      <c r="BC328" s="67"/>
      <c r="BD328" s="67"/>
      <c r="BE328" s="67"/>
      <c r="BF328" s="67"/>
      <c r="BG328" s="67"/>
      <c r="BH328" s="67"/>
      <c r="BI328" s="67"/>
      <c r="BJ328" s="67"/>
      <c r="BK328" s="67"/>
      <c r="BL328" s="67"/>
      <c r="BM328" s="67"/>
      <c r="BN328" s="67"/>
      <c r="BO328" s="67"/>
      <c r="BP328" s="67"/>
      <c r="BQ328" s="67"/>
      <c r="BR328" s="67"/>
      <c r="BS328" s="67"/>
      <c r="BT328" s="67"/>
      <c r="BU328" s="67"/>
    </row>
    <row r="329" spans="15:73" x14ac:dyDescent="0.2"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  <c r="AV329" s="67"/>
      <c r="AW329" s="67"/>
      <c r="AX329" s="67"/>
      <c r="AY329" s="67"/>
      <c r="AZ329" s="67"/>
      <c r="BA329" s="67"/>
      <c r="BB329" s="67"/>
      <c r="BC329" s="67"/>
      <c r="BD329" s="67"/>
      <c r="BE329" s="67"/>
      <c r="BF329" s="67"/>
      <c r="BG329" s="67"/>
      <c r="BH329" s="67"/>
      <c r="BI329" s="67"/>
      <c r="BJ329" s="67"/>
      <c r="BK329" s="67"/>
      <c r="BL329" s="67"/>
      <c r="BM329" s="67"/>
      <c r="BN329" s="67"/>
      <c r="BO329" s="67"/>
      <c r="BP329" s="67"/>
      <c r="BQ329" s="67"/>
      <c r="BR329" s="67"/>
      <c r="BS329" s="67"/>
      <c r="BT329" s="67"/>
      <c r="BU329" s="67"/>
    </row>
    <row r="330" spans="15:73" x14ac:dyDescent="0.2"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  <c r="AV330" s="67"/>
      <c r="AW330" s="67"/>
      <c r="AX330" s="67"/>
      <c r="AY330" s="67"/>
      <c r="AZ330" s="67"/>
      <c r="BA330" s="67"/>
      <c r="BB330" s="67"/>
      <c r="BC330" s="67"/>
      <c r="BD330" s="67"/>
      <c r="BE330" s="67"/>
      <c r="BF330" s="67"/>
      <c r="BG330" s="67"/>
      <c r="BH330" s="67"/>
      <c r="BI330" s="67"/>
      <c r="BJ330" s="67"/>
      <c r="BK330" s="67"/>
      <c r="BL330" s="67"/>
      <c r="BM330" s="67"/>
      <c r="BN330" s="67"/>
      <c r="BO330" s="67"/>
      <c r="BP330" s="67"/>
      <c r="BQ330" s="67"/>
      <c r="BR330" s="67"/>
      <c r="BS330" s="67"/>
      <c r="BT330" s="67"/>
      <c r="BU330" s="67"/>
    </row>
    <row r="331" spans="15:73" x14ac:dyDescent="0.2"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  <c r="AV331" s="67"/>
      <c r="AW331" s="67"/>
      <c r="AX331" s="67"/>
      <c r="AY331" s="67"/>
      <c r="AZ331" s="67"/>
      <c r="BA331" s="67"/>
      <c r="BB331" s="67"/>
      <c r="BC331" s="67"/>
      <c r="BD331" s="67"/>
      <c r="BE331" s="67"/>
      <c r="BF331" s="67"/>
      <c r="BG331" s="67"/>
      <c r="BH331" s="67"/>
      <c r="BI331" s="67"/>
      <c r="BJ331" s="67"/>
      <c r="BK331" s="67"/>
      <c r="BL331" s="67"/>
      <c r="BM331" s="67"/>
      <c r="BN331" s="67"/>
      <c r="BO331" s="67"/>
      <c r="BP331" s="67"/>
      <c r="BQ331" s="67"/>
      <c r="BR331" s="67"/>
      <c r="BS331" s="67"/>
      <c r="BT331" s="67"/>
      <c r="BU331" s="67"/>
    </row>
    <row r="332" spans="15:73" x14ac:dyDescent="0.2"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  <c r="AV332" s="67"/>
      <c r="AW332" s="67"/>
      <c r="AX332" s="67"/>
      <c r="AY332" s="67"/>
      <c r="AZ332" s="67"/>
      <c r="BA332" s="67"/>
      <c r="BB332" s="67"/>
      <c r="BC332" s="67"/>
      <c r="BD332" s="67"/>
      <c r="BE332" s="67"/>
      <c r="BF332" s="67"/>
      <c r="BG332" s="67"/>
      <c r="BH332" s="67"/>
      <c r="BI332" s="67"/>
      <c r="BJ332" s="67"/>
      <c r="BK332" s="67"/>
      <c r="BL332" s="67"/>
      <c r="BM332" s="67"/>
      <c r="BN332" s="67"/>
      <c r="BO332" s="67"/>
      <c r="BP332" s="67"/>
      <c r="BQ332" s="67"/>
      <c r="BR332" s="67"/>
      <c r="BS332" s="67"/>
      <c r="BT332" s="67"/>
      <c r="BU332" s="67"/>
    </row>
    <row r="333" spans="15:73" x14ac:dyDescent="0.2"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  <c r="AV333" s="67"/>
      <c r="AW333" s="67"/>
      <c r="AX333" s="67"/>
      <c r="AY333" s="67"/>
      <c r="AZ333" s="67"/>
      <c r="BA333" s="67"/>
      <c r="BB333" s="67"/>
      <c r="BC333" s="67"/>
      <c r="BD333" s="67"/>
      <c r="BE333" s="67"/>
      <c r="BF333" s="67"/>
      <c r="BG333" s="67"/>
      <c r="BH333" s="67"/>
      <c r="BI333" s="67"/>
      <c r="BJ333" s="67"/>
      <c r="BK333" s="67"/>
      <c r="BL333" s="67"/>
      <c r="BM333" s="67"/>
      <c r="BN333" s="67"/>
      <c r="BO333" s="67"/>
      <c r="BP333" s="67"/>
      <c r="BQ333" s="67"/>
      <c r="BR333" s="67"/>
      <c r="BS333" s="67"/>
      <c r="BT333" s="67"/>
      <c r="BU333" s="67"/>
    </row>
    <row r="334" spans="15:73" x14ac:dyDescent="0.2"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  <c r="AV334" s="67"/>
      <c r="AW334" s="67"/>
      <c r="AX334" s="67"/>
      <c r="AY334" s="67"/>
      <c r="AZ334" s="67"/>
      <c r="BA334" s="67"/>
      <c r="BB334" s="67"/>
      <c r="BC334" s="67"/>
      <c r="BD334" s="67"/>
      <c r="BE334" s="67"/>
      <c r="BF334" s="67"/>
      <c r="BG334" s="67"/>
      <c r="BH334" s="67"/>
      <c r="BI334" s="67"/>
      <c r="BJ334" s="67"/>
      <c r="BK334" s="67"/>
      <c r="BL334" s="67"/>
      <c r="BM334" s="67"/>
      <c r="BN334" s="67"/>
      <c r="BO334" s="67"/>
      <c r="BP334" s="67"/>
      <c r="BQ334" s="67"/>
      <c r="BR334" s="67"/>
      <c r="BS334" s="67"/>
      <c r="BT334" s="67"/>
      <c r="BU334" s="67"/>
    </row>
    <row r="335" spans="15:73" x14ac:dyDescent="0.2"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  <c r="AV335" s="67"/>
      <c r="AW335" s="67"/>
      <c r="AX335" s="67"/>
      <c r="AY335" s="67"/>
      <c r="AZ335" s="67"/>
      <c r="BA335" s="67"/>
      <c r="BB335" s="67"/>
      <c r="BC335" s="67"/>
      <c r="BD335" s="67"/>
      <c r="BE335" s="67"/>
      <c r="BF335" s="67"/>
      <c r="BG335" s="67"/>
      <c r="BH335" s="67"/>
      <c r="BI335" s="67"/>
      <c r="BJ335" s="67"/>
      <c r="BK335" s="67"/>
      <c r="BL335" s="67"/>
      <c r="BM335" s="67"/>
      <c r="BN335" s="67"/>
      <c r="BO335" s="67"/>
      <c r="BP335" s="67"/>
      <c r="BQ335" s="67"/>
      <c r="BR335" s="67"/>
      <c r="BS335" s="67"/>
      <c r="BT335" s="67"/>
      <c r="BU335" s="67"/>
    </row>
    <row r="336" spans="15:73" x14ac:dyDescent="0.2"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  <c r="AV336" s="67"/>
      <c r="AW336" s="67"/>
      <c r="AX336" s="67"/>
      <c r="AY336" s="67"/>
      <c r="AZ336" s="67"/>
      <c r="BA336" s="67"/>
      <c r="BB336" s="67"/>
      <c r="BC336" s="67"/>
      <c r="BD336" s="67"/>
      <c r="BE336" s="67"/>
      <c r="BF336" s="67"/>
      <c r="BG336" s="67"/>
      <c r="BH336" s="67"/>
      <c r="BI336" s="67"/>
      <c r="BJ336" s="67"/>
      <c r="BK336" s="67"/>
      <c r="BL336" s="67"/>
      <c r="BM336" s="67"/>
      <c r="BN336" s="67"/>
      <c r="BO336" s="67"/>
      <c r="BP336" s="67"/>
      <c r="BQ336" s="67"/>
      <c r="BR336" s="67"/>
      <c r="BS336" s="67"/>
      <c r="BT336" s="67"/>
      <c r="BU336" s="67"/>
    </row>
    <row r="337" spans="15:73" x14ac:dyDescent="0.2"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  <c r="AV337" s="67"/>
      <c r="AW337" s="67"/>
      <c r="AX337" s="67"/>
      <c r="AY337" s="67"/>
      <c r="AZ337" s="67"/>
      <c r="BA337" s="67"/>
      <c r="BB337" s="67"/>
      <c r="BC337" s="67"/>
      <c r="BD337" s="67"/>
      <c r="BE337" s="67"/>
      <c r="BF337" s="67"/>
      <c r="BG337" s="67"/>
      <c r="BH337" s="67"/>
      <c r="BI337" s="67"/>
      <c r="BJ337" s="67"/>
      <c r="BK337" s="67"/>
      <c r="BL337" s="67"/>
      <c r="BM337" s="67"/>
      <c r="BN337" s="67"/>
      <c r="BO337" s="67"/>
      <c r="BP337" s="67"/>
      <c r="BQ337" s="67"/>
      <c r="BR337" s="67"/>
      <c r="BS337" s="67"/>
      <c r="BT337" s="67"/>
      <c r="BU337" s="67"/>
    </row>
    <row r="338" spans="15:73" x14ac:dyDescent="0.2"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  <c r="AV338" s="67"/>
      <c r="AW338" s="67"/>
      <c r="AX338" s="67"/>
      <c r="AY338" s="67"/>
      <c r="AZ338" s="67"/>
      <c r="BA338" s="67"/>
      <c r="BB338" s="67"/>
      <c r="BC338" s="67"/>
      <c r="BD338" s="67"/>
      <c r="BE338" s="67"/>
      <c r="BF338" s="67"/>
      <c r="BG338" s="67"/>
      <c r="BH338" s="67"/>
      <c r="BI338" s="67"/>
      <c r="BJ338" s="67"/>
      <c r="BK338" s="67"/>
      <c r="BL338" s="67"/>
      <c r="BM338" s="67"/>
      <c r="BN338" s="67"/>
      <c r="BO338" s="67"/>
      <c r="BP338" s="67"/>
      <c r="BQ338" s="67"/>
      <c r="BR338" s="67"/>
      <c r="BS338" s="67"/>
      <c r="BT338" s="67"/>
      <c r="BU338" s="67"/>
    </row>
    <row r="339" spans="15:73" x14ac:dyDescent="0.2"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67"/>
      <c r="BL339" s="67"/>
      <c r="BM339" s="67"/>
      <c r="BN339" s="67"/>
      <c r="BO339" s="67"/>
      <c r="BP339" s="67"/>
      <c r="BQ339" s="67"/>
      <c r="BR339" s="67"/>
      <c r="BS339" s="67"/>
      <c r="BT339" s="67"/>
      <c r="BU339" s="67"/>
    </row>
    <row r="340" spans="15:73" x14ac:dyDescent="0.2"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67"/>
      <c r="BL340" s="67"/>
      <c r="BM340" s="67"/>
      <c r="BN340" s="67"/>
      <c r="BO340" s="67"/>
      <c r="BP340" s="67"/>
      <c r="BQ340" s="67"/>
      <c r="BR340" s="67"/>
      <c r="BS340" s="67"/>
      <c r="BT340" s="67"/>
      <c r="BU340" s="67"/>
    </row>
    <row r="341" spans="15:73" x14ac:dyDescent="0.2"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67"/>
      <c r="BM341" s="67"/>
      <c r="BN341" s="67"/>
      <c r="BO341" s="67"/>
      <c r="BP341" s="67"/>
      <c r="BQ341" s="67"/>
      <c r="BR341" s="67"/>
      <c r="BS341" s="67"/>
      <c r="BT341" s="67"/>
      <c r="BU341" s="67"/>
    </row>
    <row r="342" spans="15:73" x14ac:dyDescent="0.2"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67"/>
      <c r="BB342" s="67"/>
      <c r="BC342" s="67"/>
      <c r="BD342" s="67"/>
      <c r="BE342" s="67"/>
      <c r="BF342" s="67"/>
      <c r="BG342" s="67"/>
      <c r="BH342" s="67"/>
      <c r="BI342" s="67"/>
      <c r="BJ342" s="67"/>
      <c r="BK342" s="67"/>
      <c r="BL342" s="67"/>
      <c r="BM342" s="67"/>
      <c r="BN342" s="67"/>
      <c r="BO342" s="67"/>
      <c r="BP342" s="67"/>
      <c r="BQ342" s="67"/>
      <c r="BR342" s="67"/>
      <c r="BS342" s="67"/>
      <c r="BT342" s="67"/>
      <c r="BU342" s="67"/>
    </row>
    <row r="343" spans="15:73" x14ac:dyDescent="0.2"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67"/>
      <c r="BB343" s="67"/>
      <c r="BC343" s="67"/>
      <c r="BD343" s="67"/>
      <c r="BE343" s="67"/>
      <c r="BF343" s="67"/>
      <c r="BG343" s="67"/>
      <c r="BH343" s="67"/>
      <c r="BI343" s="67"/>
      <c r="BJ343" s="67"/>
      <c r="BK343" s="67"/>
      <c r="BL343" s="67"/>
      <c r="BM343" s="67"/>
      <c r="BN343" s="67"/>
      <c r="BO343" s="67"/>
      <c r="BP343" s="67"/>
      <c r="BQ343" s="67"/>
      <c r="BR343" s="67"/>
      <c r="BS343" s="67"/>
      <c r="BT343" s="67"/>
      <c r="BU343" s="67"/>
    </row>
    <row r="344" spans="15:73" x14ac:dyDescent="0.2"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67"/>
      <c r="BB344" s="67"/>
      <c r="BC344" s="67"/>
      <c r="BD344" s="67"/>
      <c r="BE344" s="67"/>
      <c r="BF344" s="67"/>
      <c r="BG344" s="67"/>
      <c r="BH344" s="67"/>
      <c r="BI344" s="67"/>
      <c r="BJ344" s="67"/>
      <c r="BK344" s="67"/>
      <c r="BL344" s="67"/>
      <c r="BM344" s="67"/>
      <c r="BN344" s="67"/>
      <c r="BO344" s="67"/>
      <c r="BP344" s="67"/>
      <c r="BQ344" s="67"/>
      <c r="BR344" s="67"/>
      <c r="BS344" s="67"/>
      <c r="BT344" s="67"/>
      <c r="BU344" s="67"/>
    </row>
    <row r="345" spans="15:73" x14ac:dyDescent="0.2"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  <c r="AE345" s="67"/>
      <c r="AF345" s="67"/>
      <c r="AG345" s="67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  <c r="AV345" s="67"/>
      <c r="AW345" s="67"/>
      <c r="AX345" s="67"/>
      <c r="AY345" s="67"/>
      <c r="AZ345" s="67"/>
      <c r="BA345" s="67"/>
      <c r="BB345" s="67"/>
      <c r="BC345" s="67"/>
      <c r="BD345" s="67"/>
      <c r="BE345" s="67"/>
      <c r="BF345" s="67"/>
      <c r="BG345" s="67"/>
      <c r="BH345" s="67"/>
      <c r="BI345" s="67"/>
      <c r="BJ345" s="67"/>
      <c r="BK345" s="67"/>
      <c r="BL345" s="67"/>
      <c r="BM345" s="67"/>
      <c r="BN345" s="67"/>
      <c r="BO345" s="67"/>
      <c r="BP345" s="67"/>
      <c r="BQ345" s="67"/>
      <c r="BR345" s="67"/>
      <c r="BS345" s="67"/>
      <c r="BT345" s="67"/>
      <c r="BU345" s="67"/>
    </row>
    <row r="346" spans="15:73" x14ac:dyDescent="0.2"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7"/>
      <c r="AZ346" s="67"/>
      <c r="BA346" s="67"/>
      <c r="BB346" s="67"/>
      <c r="BC346" s="67"/>
      <c r="BD346" s="67"/>
      <c r="BE346" s="67"/>
      <c r="BF346" s="67"/>
      <c r="BG346" s="67"/>
      <c r="BH346" s="67"/>
      <c r="BI346" s="67"/>
      <c r="BJ346" s="67"/>
      <c r="BK346" s="67"/>
      <c r="BL346" s="67"/>
      <c r="BM346" s="67"/>
      <c r="BN346" s="67"/>
      <c r="BO346" s="67"/>
      <c r="BP346" s="67"/>
      <c r="BQ346" s="67"/>
      <c r="BR346" s="67"/>
      <c r="BS346" s="67"/>
      <c r="BT346" s="67"/>
      <c r="BU346" s="67"/>
    </row>
    <row r="347" spans="15:73" x14ac:dyDescent="0.2"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  <c r="AV347" s="67"/>
      <c r="AW347" s="67"/>
      <c r="AX347" s="67"/>
      <c r="AY347" s="67"/>
      <c r="AZ347" s="67"/>
      <c r="BA347" s="67"/>
      <c r="BB347" s="67"/>
      <c r="BC347" s="67"/>
      <c r="BD347" s="67"/>
      <c r="BE347" s="67"/>
      <c r="BF347" s="67"/>
      <c r="BG347" s="67"/>
      <c r="BH347" s="67"/>
      <c r="BI347" s="67"/>
      <c r="BJ347" s="67"/>
      <c r="BK347" s="67"/>
      <c r="BL347" s="67"/>
      <c r="BM347" s="67"/>
      <c r="BN347" s="67"/>
      <c r="BO347" s="67"/>
      <c r="BP347" s="67"/>
      <c r="BQ347" s="67"/>
      <c r="BR347" s="67"/>
      <c r="BS347" s="67"/>
      <c r="BT347" s="67"/>
      <c r="BU347" s="67"/>
    </row>
    <row r="348" spans="15:73" x14ac:dyDescent="0.2"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  <c r="AE348" s="67"/>
      <c r="AF348" s="67"/>
      <c r="AG348" s="67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  <c r="AV348" s="67"/>
      <c r="AW348" s="67"/>
      <c r="AX348" s="67"/>
      <c r="AY348" s="67"/>
      <c r="AZ348" s="67"/>
      <c r="BA348" s="67"/>
      <c r="BB348" s="67"/>
      <c r="BC348" s="67"/>
      <c r="BD348" s="67"/>
      <c r="BE348" s="67"/>
      <c r="BF348" s="67"/>
      <c r="BG348" s="67"/>
      <c r="BH348" s="67"/>
      <c r="BI348" s="67"/>
      <c r="BJ348" s="67"/>
      <c r="BK348" s="67"/>
      <c r="BL348" s="67"/>
      <c r="BM348" s="67"/>
      <c r="BN348" s="67"/>
      <c r="BO348" s="67"/>
      <c r="BP348" s="67"/>
      <c r="BQ348" s="67"/>
      <c r="BR348" s="67"/>
      <c r="BS348" s="67"/>
      <c r="BT348" s="67"/>
      <c r="BU348" s="67"/>
    </row>
    <row r="349" spans="15:73" x14ac:dyDescent="0.2"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  <c r="AE349" s="67"/>
      <c r="AF349" s="67"/>
      <c r="AG349" s="67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  <c r="AV349" s="67"/>
      <c r="AW349" s="67"/>
      <c r="AX349" s="67"/>
      <c r="AY349" s="67"/>
      <c r="AZ349" s="67"/>
      <c r="BA349" s="67"/>
      <c r="BB349" s="67"/>
      <c r="BC349" s="67"/>
      <c r="BD349" s="67"/>
      <c r="BE349" s="67"/>
      <c r="BF349" s="67"/>
      <c r="BG349" s="67"/>
      <c r="BH349" s="67"/>
      <c r="BI349" s="67"/>
      <c r="BJ349" s="67"/>
      <c r="BK349" s="67"/>
      <c r="BL349" s="67"/>
      <c r="BM349" s="67"/>
      <c r="BN349" s="67"/>
      <c r="BO349" s="67"/>
      <c r="BP349" s="67"/>
      <c r="BQ349" s="67"/>
      <c r="BR349" s="67"/>
      <c r="BS349" s="67"/>
      <c r="BT349" s="67"/>
      <c r="BU349" s="67"/>
    </row>
    <row r="350" spans="15:73" x14ac:dyDescent="0.2"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  <c r="AE350" s="67"/>
      <c r="AF350" s="67"/>
      <c r="AG350" s="67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  <c r="AV350" s="67"/>
      <c r="AW350" s="67"/>
      <c r="AX350" s="67"/>
      <c r="AY350" s="67"/>
      <c r="AZ350" s="67"/>
      <c r="BA350" s="67"/>
      <c r="BB350" s="67"/>
      <c r="BC350" s="67"/>
      <c r="BD350" s="67"/>
      <c r="BE350" s="67"/>
      <c r="BF350" s="67"/>
      <c r="BG350" s="67"/>
      <c r="BH350" s="67"/>
      <c r="BI350" s="67"/>
      <c r="BJ350" s="67"/>
      <c r="BK350" s="67"/>
      <c r="BL350" s="67"/>
      <c r="BM350" s="67"/>
      <c r="BN350" s="67"/>
      <c r="BO350" s="67"/>
      <c r="BP350" s="67"/>
      <c r="BQ350" s="67"/>
      <c r="BR350" s="67"/>
      <c r="BS350" s="67"/>
      <c r="BT350" s="67"/>
      <c r="BU350" s="67"/>
    </row>
    <row r="351" spans="15:73" x14ac:dyDescent="0.2"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  <c r="AE351" s="67"/>
      <c r="AF351" s="67"/>
      <c r="AG351" s="67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  <c r="AV351" s="67"/>
      <c r="AW351" s="67"/>
      <c r="AX351" s="67"/>
      <c r="AY351" s="67"/>
      <c r="AZ351" s="67"/>
      <c r="BA351" s="67"/>
      <c r="BB351" s="67"/>
      <c r="BC351" s="67"/>
      <c r="BD351" s="67"/>
      <c r="BE351" s="67"/>
      <c r="BF351" s="67"/>
      <c r="BG351" s="67"/>
      <c r="BH351" s="67"/>
      <c r="BI351" s="67"/>
      <c r="BJ351" s="67"/>
      <c r="BK351" s="67"/>
      <c r="BL351" s="67"/>
      <c r="BM351" s="67"/>
      <c r="BN351" s="67"/>
      <c r="BO351" s="67"/>
      <c r="BP351" s="67"/>
      <c r="BQ351" s="67"/>
      <c r="BR351" s="67"/>
      <c r="BS351" s="67"/>
      <c r="BT351" s="67"/>
      <c r="BU351" s="67"/>
    </row>
    <row r="352" spans="15:73" x14ac:dyDescent="0.2"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  <c r="AE352" s="67"/>
      <c r="AF352" s="67"/>
      <c r="AG352" s="67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  <c r="AV352" s="67"/>
      <c r="AW352" s="67"/>
      <c r="AX352" s="67"/>
      <c r="AY352" s="67"/>
      <c r="AZ352" s="67"/>
      <c r="BA352" s="67"/>
      <c r="BB352" s="67"/>
      <c r="BC352" s="67"/>
      <c r="BD352" s="67"/>
      <c r="BE352" s="67"/>
      <c r="BF352" s="67"/>
      <c r="BG352" s="67"/>
      <c r="BH352" s="67"/>
      <c r="BI352" s="67"/>
      <c r="BJ352" s="67"/>
      <c r="BK352" s="67"/>
      <c r="BL352" s="67"/>
      <c r="BM352" s="67"/>
      <c r="BN352" s="67"/>
      <c r="BO352" s="67"/>
      <c r="BP352" s="67"/>
      <c r="BQ352" s="67"/>
      <c r="BR352" s="67"/>
      <c r="BS352" s="67"/>
      <c r="BT352" s="67"/>
      <c r="BU352" s="67"/>
    </row>
    <row r="353" spans="15:73" x14ac:dyDescent="0.2"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  <c r="AD353" s="67"/>
      <c r="AE353" s="67"/>
      <c r="AF353" s="67"/>
      <c r="AG353" s="67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  <c r="AV353" s="67"/>
      <c r="AW353" s="67"/>
      <c r="AX353" s="67"/>
      <c r="AY353" s="67"/>
      <c r="AZ353" s="67"/>
      <c r="BA353" s="67"/>
      <c r="BB353" s="67"/>
      <c r="BC353" s="67"/>
      <c r="BD353" s="67"/>
      <c r="BE353" s="67"/>
      <c r="BF353" s="67"/>
      <c r="BG353" s="67"/>
      <c r="BH353" s="67"/>
      <c r="BI353" s="67"/>
      <c r="BJ353" s="67"/>
      <c r="BK353" s="67"/>
      <c r="BL353" s="67"/>
      <c r="BM353" s="67"/>
      <c r="BN353" s="67"/>
      <c r="BO353" s="67"/>
      <c r="BP353" s="67"/>
      <c r="BQ353" s="67"/>
      <c r="BR353" s="67"/>
      <c r="BS353" s="67"/>
      <c r="BT353" s="67"/>
      <c r="BU353" s="67"/>
    </row>
    <row r="354" spans="15:73" x14ac:dyDescent="0.2"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  <c r="AD354" s="67"/>
      <c r="AE354" s="67"/>
      <c r="AF354" s="67"/>
      <c r="AG354" s="67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  <c r="AV354" s="67"/>
      <c r="AW354" s="67"/>
      <c r="AX354" s="67"/>
      <c r="AY354" s="67"/>
      <c r="AZ354" s="67"/>
      <c r="BA354" s="67"/>
      <c r="BB354" s="67"/>
      <c r="BC354" s="67"/>
      <c r="BD354" s="67"/>
      <c r="BE354" s="67"/>
      <c r="BF354" s="67"/>
      <c r="BG354" s="67"/>
      <c r="BH354" s="67"/>
      <c r="BI354" s="67"/>
      <c r="BJ354" s="67"/>
      <c r="BK354" s="67"/>
      <c r="BL354" s="67"/>
      <c r="BM354" s="67"/>
      <c r="BN354" s="67"/>
      <c r="BO354" s="67"/>
      <c r="BP354" s="67"/>
      <c r="BQ354" s="67"/>
      <c r="BR354" s="67"/>
      <c r="BS354" s="67"/>
      <c r="BT354" s="67"/>
      <c r="BU354" s="67"/>
    </row>
    <row r="355" spans="15:73" x14ac:dyDescent="0.2"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  <c r="AD355" s="67"/>
      <c r="AE355" s="67"/>
      <c r="AF355" s="67"/>
      <c r="AG355" s="67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  <c r="AV355" s="67"/>
      <c r="AW355" s="67"/>
      <c r="AX355" s="67"/>
      <c r="AY355" s="67"/>
      <c r="AZ355" s="67"/>
      <c r="BA355" s="67"/>
      <c r="BB355" s="67"/>
      <c r="BC355" s="67"/>
      <c r="BD355" s="67"/>
      <c r="BE355" s="67"/>
      <c r="BF355" s="67"/>
      <c r="BG355" s="67"/>
      <c r="BH355" s="67"/>
      <c r="BI355" s="67"/>
      <c r="BJ355" s="67"/>
      <c r="BK355" s="67"/>
      <c r="BL355" s="67"/>
      <c r="BM355" s="67"/>
      <c r="BN355" s="67"/>
      <c r="BO355" s="67"/>
      <c r="BP355" s="67"/>
      <c r="BQ355" s="67"/>
      <c r="BR355" s="67"/>
      <c r="BS355" s="67"/>
      <c r="BT355" s="67"/>
      <c r="BU355" s="67"/>
    </row>
    <row r="356" spans="15:73" x14ac:dyDescent="0.2"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  <c r="AD356" s="67"/>
      <c r="AE356" s="67"/>
      <c r="AF356" s="67"/>
      <c r="AG356" s="67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  <c r="AV356" s="67"/>
      <c r="AW356" s="67"/>
      <c r="AX356" s="67"/>
      <c r="AY356" s="67"/>
      <c r="AZ356" s="67"/>
      <c r="BA356" s="67"/>
      <c r="BB356" s="67"/>
      <c r="BC356" s="67"/>
      <c r="BD356" s="67"/>
      <c r="BE356" s="67"/>
      <c r="BF356" s="67"/>
      <c r="BG356" s="67"/>
      <c r="BH356" s="67"/>
      <c r="BI356" s="67"/>
      <c r="BJ356" s="67"/>
      <c r="BK356" s="67"/>
      <c r="BL356" s="67"/>
      <c r="BM356" s="67"/>
      <c r="BN356" s="67"/>
      <c r="BO356" s="67"/>
      <c r="BP356" s="67"/>
      <c r="BQ356" s="67"/>
      <c r="BR356" s="67"/>
      <c r="BS356" s="67"/>
      <c r="BT356" s="67"/>
      <c r="BU356" s="67"/>
    </row>
    <row r="357" spans="15:73" x14ac:dyDescent="0.2"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  <c r="AC357" s="67"/>
      <c r="AD357" s="67"/>
      <c r="AE357" s="67"/>
      <c r="AF357" s="67"/>
      <c r="AG357" s="67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  <c r="AV357" s="67"/>
      <c r="AW357" s="67"/>
      <c r="AX357" s="67"/>
      <c r="AY357" s="67"/>
      <c r="AZ357" s="67"/>
      <c r="BA357" s="67"/>
      <c r="BB357" s="67"/>
      <c r="BC357" s="67"/>
      <c r="BD357" s="67"/>
      <c r="BE357" s="67"/>
      <c r="BF357" s="67"/>
      <c r="BG357" s="67"/>
      <c r="BH357" s="67"/>
      <c r="BI357" s="67"/>
      <c r="BJ357" s="67"/>
      <c r="BK357" s="67"/>
      <c r="BL357" s="67"/>
      <c r="BM357" s="67"/>
      <c r="BN357" s="67"/>
      <c r="BO357" s="67"/>
      <c r="BP357" s="67"/>
      <c r="BQ357" s="67"/>
      <c r="BR357" s="67"/>
      <c r="BS357" s="67"/>
      <c r="BT357" s="67"/>
      <c r="BU357" s="67"/>
    </row>
    <row r="358" spans="15:73" x14ac:dyDescent="0.2"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  <c r="AD358" s="67"/>
      <c r="AE358" s="67"/>
      <c r="AF358" s="67"/>
      <c r="AG358" s="67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  <c r="AV358" s="67"/>
      <c r="AW358" s="67"/>
      <c r="AX358" s="67"/>
      <c r="AY358" s="67"/>
      <c r="AZ358" s="67"/>
      <c r="BA358" s="67"/>
      <c r="BB358" s="67"/>
      <c r="BC358" s="67"/>
      <c r="BD358" s="67"/>
      <c r="BE358" s="67"/>
      <c r="BF358" s="67"/>
      <c r="BG358" s="67"/>
      <c r="BH358" s="67"/>
      <c r="BI358" s="67"/>
      <c r="BJ358" s="67"/>
      <c r="BK358" s="67"/>
      <c r="BL358" s="67"/>
      <c r="BM358" s="67"/>
      <c r="BN358" s="67"/>
      <c r="BO358" s="67"/>
      <c r="BP358" s="67"/>
      <c r="BQ358" s="67"/>
      <c r="BR358" s="67"/>
      <c r="BS358" s="67"/>
      <c r="BT358" s="67"/>
      <c r="BU358" s="67"/>
    </row>
    <row r="359" spans="15:73" x14ac:dyDescent="0.2"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  <c r="AC359" s="67"/>
      <c r="AD359" s="67"/>
      <c r="AE359" s="67"/>
      <c r="AF359" s="67"/>
      <c r="AG359" s="67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  <c r="AV359" s="67"/>
      <c r="AW359" s="67"/>
      <c r="AX359" s="67"/>
      <c r="AY359" s="67"/>
      <c r="AZ359" s="67"/>
      <c r="BA359" s="67"/>
      <c r="BB359" s="67"/>
      <c r="BC359" s="67"/>
      <c r="BD359" s="67"/>
      <c r="BE359" s="67"/>
      <c r="BF359" s="67"/>
      <c r="BG359" s="67"/>
      <c r="BH359" s="67"/>
      <c r="BI359" s="67"/>
      <c r="BJ359" s="67"/>
      <c r="BK359" s="67"/>
      <c r="BL359" s="67"/>
      <c r="BM359" s="67"/>
      <c r="BN359" s="67"/>
      <c r="BO359" s="67"/>
      <c r="BP359" s="67"/>
      <c r="BQ359" s="67"/>
      <c r="BR359" s="67"/>
      <c r="BS359" s="67"/>
      <c r="BT359" s="67"/>
      <c r="BU359" s="67"/>
    </row>
    <row r="360" spans="15:73" x14ac:dyDescent="0.2"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  <c r="AD360" s="67"/>
      <c r="AE360" s="67"/>
      <c r="AF360" s="67"/>
      <c r="AG360" s="67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  <c r="AV360" s="67"/>
      <c r="AW360" s="67"/>
      <c r="AX360" s="67"/>
      <c r="AY360" s="67"/>
      <c r="AZ360" s="67"/>
      <c r="BA360" s="67"/>
      <c r="BB360" s="67"/>
      <c r="BC360" s="67"/>
      <c r="BD360" s="67"/>
      <c r="BE360" s="67"/>
      <c r="BF360" s="67"/>
      <c r="BG360" s="67"/>
      <c r="BH360" s="67"/>
      <c r="BI360" s="67"/>
      <c r="BJ360" s="67"/>
      <c r="BK360" s="67"/>
      <c r="BL360" s="67"/>
      <c r="BM360" s="67"/>
      <c r="BN360" s="67"/>
      <c r="BO360" s="67"/>
      <c r="BP360" s="67"/>
      <c r="BQ360" s="67"/>
      <c r="BR360" s="67"/>
      <c r="BS360" s="67"/>
      <c r="BT360" s="67"/>
      <c r="BU360" s="67"/>
    </row>
    <row r="361" spans="15:73" x14ac:dyDescent="0.2"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  <c r="AD361" s="67"/>
      <c r="AE361" s="67"/>
      <c r="AF361" s="67"/>
      <c r="AG361" s="67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  <c r="AV361" s="67"/>
      <c r="AW361" s="67"/>
      <c r="AX361" s="67"/>
      <c r="AY361" s="67"/>
      <c r="AZ361" s="67"/>
      <c r="BA361" s="67"/>
      <c r="BB361" s="67"/>
      <c r="BC361" s="67"/>
      <c r="BD361" s="67"/>
      <c r="BE361" s="67"/>
      <c r="BF361" s="67"/>
      <c r="BG361" s="67"/>
      <c r="BH361" s="67"/>
      <c r="BI361" s="67"/>
      <c r="BJ361" s="67"/>
      <c r="BK361" s="67"/>
      <c r="BL361" s="67"/>
      <c r="BM361" s="67"/>
      <c r="BN361" s="67"/>
      <c r="BO361" s="67"/>
      <c r="BP361" s="67"/>
      <c r="BQ361" s="67"/>
      <c r="BR361" s="67"/>
      <c r="BS361" s="67"/>
      <c r="BT361" s="67"/>
      <c r="BU361" s="67"/>
    </row>
    <row r="362" spans="15:73" x14ac:dyDescent="0.2"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  <c r="AE362" s="67"/>
      <c r="AF362" s="67"/>
      <c r="AG362" s="67"/>
      <c r="AH362" s="67"/>
      <c r="AI362" s="67"/>
      <c r="AJ362" s="67"/>
      <c r="AK362" s="67"/>
      <c r="AL362" s="67"/>
      <c r="AM362" s="67"/>
      <c r="AN362" s="67"/>
      <c r="AO362" s="67"/>
      <c r="AP362" s="67"/>
      <c r="AQ362" s="67"/>
      <c r="AR362" s="67"/>
      <c r="AS362" s="67"/>
      <c r="AT362" s="67"/>
      <c r="AU362" s="67"/>
      <c r="AV362" s="67"/>
      <c r="AW362" s="67"/>
      <c r="AX362" s="67"/>
      <c r="AY362" s="67"/>
      <c r="AZ362" s="67"/>
      <c r="BA362" s="67"/>
      <c r="BB362" s="67"/>
      <c r="BC362" s="67"/>
      <c r="BD362" s="67"/>
      <c r="BE362" s="67"/>
      <c r="BF362" s="67"/>
      <c r="BG362" s="67"/>
      <c r="BH362" s="67"/>
      <c r="BI362" s="67"/>
      <c r="BJ362" s="67"/>
      <c r="BK362" s="67"/>
      <c r="BL362" s="67"/>
      <c r="BM362" s="67"/>
      <c r="BN362" s="67"/>
      <c r="BO362" s="67"/>
      <c r="BP362" s="67"/>
      <c r="BQ362" s="67"/>
      <c r="BR362" s="67"/>
      <c r="BS362" s="67"/>
      <c r="BT362" s="67"/>
      <c r="BU362" s="67"/>
    </row>
    <row r="363" spans="15:73" x14ac:dyDescent="0.2"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  <c r="AD363" s="67"/>
      <c r="AE363" s="67"/>
      <c r="AF363" s="67"/>
      <c r="AG363" s="67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  <c r="AV363" s="67"/>
      <c r="AW363" s="67"/>
      <c r="AX363" s="67"/>
      <c r="AY363" s="67"/>
      <c r="AZ363" s="67"/>
      <c r="BA363" s="67"/>
      <c r="BB363" s="67"/>
      <c r="BC363" s="67"/>
      <c r="BD363" s="67"/>
      <c r="BE363" s="67"/>
      <c r="BF363" s="67"/>
      <c r="BG363" s="67"/>
      <c r="BH363" s="67"/>
      <c r="BI363" s="67"/>
      <c r="BJ363" s="67"/>
      <c r="BK363" s="67"/>
      <c r="BL363" s="67"/>
      <c r="BM363" s="67"/>
      <c r="BN363" s="67"/>
      <c r="BO363" s="67"/>
      <c r="BP363" s="67"/>
      <c r="BQ363" s="67"/>
      <c r="BR363" s="67"/>
      <c r="BS363" s="67"/>
      <c r="BT363" s="67"/>
      <c r="BU363" s="67"/>
    </row>
    <row r="364" spans="15:73" x14ac:dyDescent="0.2"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  <c r="AV364" s="67"/>
      <c r="AW364" s="67"/>
      <c r="AX364" s="67"/>
      <c r="AY364" s="67"/>
      <c r="AZ364" s="67"/>
      <c r="BA364" s="67"/>
      <c r="BB364" s="67"/>
      <c r="BC364" s="67"/>
      <c r="BD364" s="67"/>
      <c r="BE364" s="67"/>
      <c r="BF364" s="67"/>
      <c r="BG364" s="67"/>
      <c r="BH364" s="67"/>
      <c r="BI364" s="67"/>
      <c r="BJ364" s="67"/>
      <c r="BK364" s="67"/>
      <c r="BL364" s="67"/>
      <c r="BM364" s="67"/>
      <c r="BN364" s="67"/>
      <c r="BO364" s="67"/>
      <c r="BP364" s="67"/>
      <c r="BQ364" s="67"/>
      <c r="BR364" s="67"/>
      <c r="BS364" s="67"/>
      <c r="BT364" s="67"/>
      <c r="BU364" s="67"/>
    </row>
    <row r="365" spans="15:73" x14ac:dyDescent="0.2"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  <c r="AD365" s="67"/>
      <c r="AE365" s="67"/>
      <c r="AF365" s="67"/>
      <c r="AG365" s="67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  <c r="AV365" s="67"/>
      <c r="AW365" s="67"/>
      <c r="AX365" s="67"/>
      <c r="AY365" s="67"/>
      <c r="AZ365" s="67"/>
      <c r="BA365" s="67"/>
      <c r="BB365" s="67"/>
      <c r="BC365" s="67"/>
      <c r="BD365" s="67"/>
      <c r="BE365" s="67"/>
      <c r="BF365" s="67"/>
      <c r="BG365" s="67"/>
      <c r="BH365" s="67"/>
      <c r="BI365" s="67"/>
      <c r="BJ365" s="67"/>
      <c r="BK365" s="67"/>
      <c r="BL365" s="67"/>
      <c r="BM365" s="67"/>
      <c r="BN365" s="67"/>
      <c r="BO365" s="67"/>
      <c r="BP365" s="67"/>
      <c r="BQ365" s="67"/>
      <c r="BR365" s="67"/>
      <c r="BS365" s="67"/>
      <c r="BT365" s="67"/>
      <c r="BU365" s="67"/>
    </row>
    <row r="366" spans="15:73" x14ac:dyDescent="0.2"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  <c r="AD366" s="67"/>
      <c r="AE366" s="67"/>
      <c r="AF366" s="67"/>
      <c r="AG366" s="67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  <c r="AV366" s="67"/>
      <c r="AW366" s="67"/>
      <c r="AX366" s="67"/>
      <c r="AY366" s="67"/>
      <c r="AZ366" s="67"/>
      <c r="BA366" s="67"/>
      <c r="BB366" s="67"/>
      <c r="BC366" s="67"/>
      <c r="BD366" s="67"/>
      <c r="BE366" s="67"/>
      <c r="BF366" s="67"/>
      <c r="BG366" s="67"/>
      <c r="BH366" s="67"/>
      <c r="BI366" s="67"/>
      <c r="BJ366" s="67"/>
      <c r="BK366" s="67"/>
      <c r="BL366" s="67"/>
      <c r="BM366" s="67"/>
      <c r="BN366" s="67"/>
      <c r="BO366" s="67"/>
      <c r="BP366" s="67"/>
      <c r="BQ366" s="67"/>
      <c r="BR366" s="67"/>
      <c r="BS366" s="67"/>
      <c r="BT366" s="67"/>
      <c r="BU366" s="67"/>
    </row>
    <row r="367" spans="15:73" x14ac:dyDescent="0.2"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  <c r="AV367" s="67"/>
      <c r="AW367" s="67"/>
      <c r="AX367" s="67"/>
      <c r="AY367" s="67"/>
      <c r="AZ367" s="67"/>
      <c r="BA367" s="67"/>
      <c r="BB367" s="67"/>
      <c r="BC367" s="67"/>
      <c r="BD367" s="67"/>
      <c r="BE367" s="67"/>
      <c r="BF367" s="67"/>
      <c r="BG367" s="67"/>
      <c r="BH367" s="67"/>
      <c r="BI367" s="67"/>
      <c r="BJ367" s="67"/>
      <c r="BK367" s="67"/>
      <c r="BL367" s="67"/>
      <c r="BM367" s="67"/>
      <c r="BN367" s="67"/>
      <c r="BO367" s="67"/>
      <c r="BP367" s="67"/>
      <c r="BQ367" s="67"/>
      <c r="BR367" s="67"/>
      <c r="BS367" s="67"/>
      <c r="BT367" s="67"/>
      <c r="BU367" s="67"/>
    </row>
    <row r="368" spans="15:73" x14ac:dyDescent="0.2"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  <c r="AD368" s="67"/>
      <c r="AE368" s="67"/>
      <c r="AF368" s="67"/>
      <c r="AG368" s="67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67"/>
      <c r="BL368" s="67"/>
      <c r="BM368" s="67"/>
      <c r="BN368" s="67"/>
      <c r="BO368" s="67"/>
      <c r="BP368" s="67"/>
      <c r="BQ368" s="67"/>
      <c r="BR368" s="67"/>
      <c r="BS368" s="67"/>
      <c r="BT368" s="67"/>
      <c r="BU368" s="67"/>
    </row>
    <row r="369" spans="15:73" x14ac:dyDescent="0.2"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  <c r="AD369" s="67"/>
      <c r="AE369" s="67"/>
      <c r="AF369" s="67"/>
      <c r="AG369" s="67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  <c r="AV369" s="67"/>
      <c r="AW369" s="67"/>
      <c r="AX369" s="67"/>
      <c r="AY369" s="67"/>
      <c r="AZ369" s="67"/>
      <c r="BA369" s="67"/>
      <c r="BB369" s="67"/>
      <c r="BC369" s="67"/>
      <c r="BD369" s="67"/>
      <c r="BE369" s="67"/>
      <c r="BF369" s="67"/>
      <c r="BG369" s="67"/>
      <c r="BH369" s="67"/>
      <c r="BI369" s="67"/>
      <c r="BJ369" s="67"/>
      <c r="BK369" s="67"/>
      <c r="BL369" s="67"/>
      <c r="BM369" s="67"/>
      <c r="BN369" s="67"/>
      <c r="BO369" s="67"/>
      <c r="BP369" s="67"/>
      <c r="BQ369" s="67"/>
      <c r="BR369" s="67"/>
      <c r="BS369" s="67"/>
      <c r="BT369" s="67"/>
      <c r="BU369" s="67"/>
    </row>
    <row r="370" spans="15:73" x14ac:dyDescent="0.2"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  <c r="AD370" s="67"/>
      <c r="AE370" s="67"/>
      <c r="AF370" s="67"/>
      <c r="AG370" s="67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  <c r="AV370" s="67"/>
      <c r="AW370" s="67"/>
      <c r="AX370" s="67"/>
      <c r="AY370" s="67"/>
      <c r="AZ370" s="67"/>
      <c r="BA370" s="67"/>
      <c r="BB370" s="67"/>
      <c r="BC370" s="67"/>
      <c r="BD370" s="67"/>
      <c r="BE370" s="67"/>
      <c r="BF370" s="67"/>
      <c r="BG370" s="67"/>
      <c r="BH370" s="67"/>
      <c r="BI370" s="67"/>
      <c r="BJ370" s="67"/>
      <c r="BK370" s="67"/>
      <c r="BL370" s="67"/>
      <c r="BM370" s="67"/>
      <c r="BN370" s="67"/>
      <c r="BO370" s="67"/>
      <c r="BP370" s="67"/>
      <c r="BQ370" s="67"/>
      <c r="BR370" s="67"/>
      <c r="BS370" s="67"/>
      <c r="BT370" s="67"/>
      <c r="BU370" s="67"/>
    </row>
    <row r="371" spans="15:73" x14ac:dyDescent="0.2"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  <c r="AV371" s="67"/>
      <c r="AW371" s="67"/>
      <c r="AX371" s="67"/>
      <c r="AY371" s="67"/>
      <c r="AZ371" s="67"/>
      <c r="BA371" s="67"/>
      <c r="BB371" s="67"/>
      <c r="BC371" s="67"/>
      <c r="BD371" s="67"/>
      <c r="BE371" s="67"/>
      <c r="BF371" s="67"/>
      <c r="BG371" s="67"/>
      <c r="BH371" s="67"/>
      <c r="BI371" s="67"/>
      <c r="BJ371" s="67"/>
      <c r="BK371" s="67"/>
      <c r="BL371" s="67"/>
      <c r="BM371" s="67"/>
      <c r="BN371" s="67"/>
      <c r="BO371" s="67"/>
      <c r="BP371" s="67"/>
      <c r="BQ371" s="67"/>
      <c r="BR371" s="67"/>
      <c r="BS371" s="67"/>
      <c r="BT371" s="67"/>
      <c r="BU371" s="67"/>
    </row>
    <row r="372" spans="15:73" x14ac:dyDescent="0.2"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  <c r="AD372" s="67"/>
      <c r="AE372" s="67"/>
      <c r="AF372" s="67"/>
      <c r="AG372" s="67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7"/>
      <c r="AT372" s="67"/>
      <c r="AU372" s="67"/>
      <c r="AV372" s="67"/>
      <c r="AW372" s="67"/>
      <c r="AX372" s="67"/>
      <c r="AY372" s="67"/>
      <c r="AZ372" s="67"/>
      <c r="BA372" s="67"/>
      <c r="BB372" s="67"/>
      <c r="BC372" s="67"/>
      <c r="BD372" s="67"/>
      <c r="BE372" s="67"/>
      <c r="BF372" s="67"/>
      <c r="BG372" s="67"/>
      <c r="BH372" s="67"/>
      <c r="BI372" s="67"/>
      <c r="BJ372" s="67"/>
      <c r="BK372" s="67"/>
      <c r="BL372" s="67"/>
      <c r="BM372" s="67"/>
      <c r="BN372" s="67"/>
      <c r="BO372" s="67"/>
      <c r="BP372" s="67"/>
      <c r="BQ372" s="67"/>
      <c r="BR372" s="67"/>
      <c r="BS372" s="67"/>
      <c r="BT372" s="67"/>
      <c r="BU372" s="67"/>
    </row>
    <row r="373" spans="15:73" x14ac:dyDescent="0.2"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  <c r="AV373" s="67"/>
      <c r="AW373" s="67"/>
      <c r="AX373" s="67"/>
      <c r="AY373" s="67"/>
      <c r="AZ373" s="67"/>
      <c r="BA373" s="67"/>
      <c r="BB373" s="67"/>
      <c r="BC373" s="67"/>
      <c r="BD373" s="67"/>
      <c r="BE373" s="67"/>
      <c r="BF373" s="67"/>
      <c r="BG373" s="67"/>
      <c r="BH373" s="67"/>
      <c r="BI373" s="67"/>
      <c r="BJ373" s="67"/>
      <c r="BK373" s="67"/>
      <c r="BL373" s="67"/>
      <c r="BM373" s="67"/>
      <c r="BN373" s="67"/>
      <c r="BO373" s="67"/>
      <c r="BP373" s="67"/>
      <c r="BQ373" s="67"/>
      <c r="BR373" s="67"/>
      <c r="BS373" s="67"/>
      <c r="BT373" s="67"/>
      <c r="BU373" s="67"/>
    </row>
    <row r="374" spans="15:73" x14ac:dyDescent="0.2"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  <c r="AE374" s="67"/>
      <c r="AF374" s="67"/>
      <c r="AG374" s="67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  <c r="AV374" s="67"/>
      <c r="AW374" s="67"/>
      <c r="AX374" s="67"/>
      <c r="AY374" s="67"/>
      <c r="AZ374" s="67"/>
      <c r="BA374" s="67"/>
      <c r="BB374" s="67"/>
      <c r="BC374" s="67"/>
      <c r="BD374" s="67"/>
      <c r="BE374" s="67"/>
      <c r="BF374" s="67"/>
      <c r="BG374" s="67"/>
      <c r="BH374" s="67"/>
      <c r="BI374" s="67"/>
      <c r="BJ374" s="67"/>
      <c r="BK374" s="67"/>
      <c r="BL374" s="67"/>
      <c r="BM374" s="67"/>
      <c r="BN374" s="67"/>
      <c r="BO374" s="67"/>
      <c r="BP374" s="67"/>
      <c r="BQ374" s="67"/>
      <c r="BR374" s="67"/>
      <c r="BS374" s="67"/>
      <c r="BT374" s="67"/>
      <c r="BU374" s="67"/>
    </row>
    <row r="375" spans="15:73" x14ac:dyDescent="0.2"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  <c r="AE375" s="67"/>
      <c r="AF375" s="67"/>
      <c r="AG375" s="67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  <c r="AV375" s="67"/>
      <c r="AW375" s="67"/>
      <c r="AX375" s="67"/>
      <c r="AY375" s="67"/>
      <c r="AZ375" s="67"/>
      <c r="BA375" s="67"/>
      <c r="BB375" s="67"/>
      <c r="BC375" s="67"/>
      <c r="BD375" s="67"/>
      <c r="BE375" s="67"/>
      <c r="BF375" s="67"/>
      <c r="BG375" s="67"/>
      <c r="BH375" s="67"/>
      <c r="BI375" s="67"/>
      <c r="BJ375" s="67"/>
      <c r="BK375" s="67"/>
      <c r="BL375" s="67"/>
      <c r="BM375" s="67"/>
      <c r="BN375" s="67"/>
      <c r="BO375" s="67"/>
      <c r="BP375" s="67"/>
      <c r="BQ375" s="67"/>
      <c r="BR375" s="67"/>
      <c r="BS375" s="67"/>
      <c r="BT375" s="67"/>
      <c r="BU375" s="67"/>
    </row>
    <row r="376" spans="15:73" x14ac:dyDescent="0.2"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  <c r="AE376" s="67"/>
      <c r="AF376" s="67"/>
      <c r="AG376" s="67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  <c r="AV376" s="67"/>
      <c r="AW376" s="67"/>
      <c r="AX376" s="67"/>
      <c r="AY376" s="67"/>
      <c r="AZ376" s="67"/>
      <c r="BA376" s="67"/>
      <c r="BB376" s="67"/>
      <c r="BC376" s="67"/>
      <c r="BD376" s="67"/>
      <c r="BE376" s="67"/>
      <c r="BF376" s="67"/>
      <c r="BG376" s="67"/>
      <c r="BH376" s="67"/>
      <c r="BI376" s="67"/>
      <c r="BJ376" s="67"/>
      <c r="BK376" s="67"/>
      <c r="BL376" s="67"/>
      <c r="BM376" s="67"/>
      <c r="BN376" s="67"/>
      <c r="BO376" s="67"/>
      <c r="BP376" s="67"/>
      <c r="BQ376" s="67"/>
      <c r="BR376" s="67"/>
      <c r="BS376" s="67"/>
      <c r="BT376" s="67"/>
      <c r="BU376" s="67"/>
    </row>
    <row r="377" spans="15:73" x14ac:dyDescent="0.2"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  <c r="AN377" s="67"/>
      <c r="AO377" s="67"/>
      <c r="AP377" s="67"/>
      <c r="AQ377" s="67"/>
      <c r="AR377" s="67"/>
      <c r="AS377" s="67"/>
      <c r="AT377" s="67"/>
      <c r="AU377" s="67"/>
      <c r="AV377" s="67"/>
      <c r="AW377" s="67"/>
      <c r="AX377" s="67"/>
      <c r="AY377" s="67"/>
      <c r="AZ377" s="67"/>
      <c r="BA377" s="67"/>
      <c r="BB377" s="67"/>
      <c r="BC377" s="67"/>
      <c r="BD377" s="67"/>
      <c r="BE377" s="67"/>
      <c r="BF377" s="67"/>
      <c r="BG377" s="67"/>
      <c r="BH377" s="67"/>
      <c r="BI377" s="67"/>
      <c r="BJ377" s="67"/>
      <c r="BK377" s="67"/>
      <c r="BL377" s="67"/>
      <c r="BM377" s="67"/>
      <c r="BN377" s="67"/>
      <c r="BO377" s="67"/>
      <c r="BP377" s="67"/>
      <c r="BQ377" s="67"/>
      <c r="BR377" s="67"/>
      <c r="BS377" s="67"/>
      <c r="BT377" s="67"/>
      <c r="BU377" s="67"/>
    </row>
    <row r="378" spans="15:73" x14ac:dyDescent="0.2"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  <c r="AE378" s="67"/>
      <c r="AF378" s="67"/>
      <c r="AG378" s="67"/>
      <c r="AH378" s="67"/>
      <c r="AI378" s="67"/>
      <c r="AJ378" s="67"/>
      <c r="AK378" s="67"/>
      <c r="AL378" s="67"/>
      <c r="AM378" s="67"/>
      <c r="AN378" s="67"/>
      <c r="AO378" s="67"/>
      <c r="AP378" s="67"/>
      <c r="AQ378" s="67"/>
      <c r="AR378" s="67"/>
      <c r="AS378" s="67"/>
      <c r="AT378" s="67"/>
      <c r="AU378" s="67"/>
      <c r="AV378" s="67"/>
      <c r="AW378" s="67"/>
      <c r="AX378" s="67"/>
      <c r="AY378" s="67"/>
      <c r="AZ378" s="67"/>
      <c r="BA378" s="67"/>
      <c r="BB378" s="67"/>
      <c r="BC378" s="67"/>
      <c r="BD378" s="67"/>
      <c r="BE378" s="67"/>
      <c r="BF378" s="67"/>
      <c r="BG378" s="67"/>
      <c r="BH378" s="67"/>
      <c r="BI378" s="67"/>
      <c r="BJ378" s="67"/>
      <c r="BK378" s="67"/>
      <c r="BL378" s="67"/>
      <c r="BM378" s="67"/>
      <c r="BN378" s="67"/>
      <c r="BO378" s="67"/>
      <c r="BP378" s="67"/>
      <c r="BQ378" s="67"/>
      <c r="BR378" s="67"/>
      <c r="BS378" s="67"/>
      <c r="BT378" s="67"/>
      <c r="BU378" s="67"/>
    </row>
    <row r="379" spans="15:73" x14ac:dyDescent="0.2"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  <c r="AE379" s="67"/>
      <c r="AF379" s="67"/>
      <c r="AG379" s="67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  <c r="AV379" s="67"/>
      <c r="AW379" s="67"/>
      <c r="AX379" s="67"/>
      <c r="AY379" s="67"/>
      <c r="AZ379" s="67"/>
      <c r="BA379" s="67"/>
      <c r="BB379" s="67"/>
      <c r="BC379" s="67"/>
      <c r="BD379" s="67"/>
      <c r="BE379" s="67"/>
      <c r="BF379" s="67"/>
      <c r="BG379" s="67"/>
      <c r="BH379" s="67"/>
      <c r="BI379" s="67"/>
      <c r="BJ379" s="67"/>
      <c r="BK379" s="67"/>
      <c r="BL379" s="67"/>
      <c r="BM379" s="67"/>
      <c r="BN379" s="67"/>
      <c r="BO379" s="67"/>
      <c r="BP379" s="67"/>
      <c r="BQ379" s="67"/>
      <c r="BR379" s="67"/>
      <c r="BS379" s="67"/>
      <c r="BT379" s="67"/>
      <c r="BU379" s="67"/>
    </row>
    <row r="380" spans="15:73" x14ac:dyDescent="0.2"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  <c r="AE380" s="67"/>
      <c r="AF380" s="67"/>
      <c r="AG380" s="67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  <c r="AV380" s="67"/>
      <c r="AW380" s="67"/>
      <c r="AX380" s="67"/>
      <c r="AY380" s="67"/>
      <c r="AZ380" s="67"/>
      <c r="BA380" s="67"/>
      <c r="BB380" s="67"/>
      <c r="BC380" s="67"/>
      <c r="BD380" s="67"/>
      <c r="BE380" s="67"/>
      <c r="BF380" s="67"/>
      <c r="BG380" s="67"/>
      <c r="BH380" s="67"/>
      <c r="BI380" s="67"/>
      <c r="BJ380" s="67"/>
      <c r="BK380" s="67"/>
      <c r="BL380" s="67"/>
      <c r="BM380" s="67"/>
      <c r="BN380" s="67"/>
      <c r="BO380" s="67"/>
      <c r="BP380" s="67"/>
      <c r="BQ380" s="67"/>
      <c r="BR380" s="67"/>
      <c r="BS380" s="67"/>
      <c r="BT380" s="67"/>
      <c r="BU380" s="67"/>
    </row>
    <row r="381" spans="15:73" x14ac:dyDescent="0.2"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  <c r="AE381" s="67"/>
      <c r="AF381" s="67"/>
      <c r="AG381" s="67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  <c r="AV381" s="67"/>
      <c r="AW381" s="67"/>
      <c r="AX381" s="67"/>
      <c r="AY381" s="67"/>
      <c r="AZ381" s="67"/>
      <c r="BA381" s="67"/>
      <c r="BB381" s="67"/>
      <c r="BC381" s="67"/>
      <c r="BD381" s="67"/>
      <c r="BE381" s="67"/>
      <c r="BF381" s="67"/>
      <c r="BG381" s="67"/>
      <c r="BH381" s="67"/>
      <c r="BI381" s="67"/>
      <c r="BJ381" s="67"/>
      <c r="BK381" s="67"/>
      <c r="BL381" s="67"/>
      <c r="BM381" s="67"/>
      <c r="BN381" s="67"/>
      <c r="BO381" s="67"/>
      <c r="BP381" s="67"/>
      <c r="BQ381" s="67"/>
      <c r="BR381" s="67"/>
      <c r="BS381" s="67"/>
      <c r="BT381" s="67"/>
      <c r="BU381" s="67"/>
    </row>
    <row r="382" spans="15:73" x14ac:dyDescent="0.2"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  <c r="AE382" s="67"/>
      <c r="AF382" s="67"/>
      <c r="AG382" s="67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  <c r="AV382" s="67"/>
      <c r="AW382" s="67"/>
      <c r="AX382" s="67"/>
      <c r="AY382" s="67"/>
      <c r="AZ382" s="67"/>
      <c r="BA382" s="67"/>
      <c r="BB382" s="67"/>
      <c r="BC382" s="67"/>
      <c r="BD382" s="67"/>
      <c r="BE382" s="67"/>
      <c r="BF382" s="67"/>
      <c r="BG382" s="67"/>
      <c r="BH382" s="67"/>
      <c r="BI382" s="67"/>
      <c r="BJ382" s="67"/>
      <c r="BK382" s="67"/>
      <c r="BL382" s="67"/>
      <c r="BM382" s="67"/>
      <c r="BN382" s="67"/>
      <c r="BO382" s="67"/>
      <c r="BP382" s="67"/>
      <c r="BQ382" s="67"/>
      <c r="BR382" s="67"/>
      <c r="BS382" s="67"/>
      <c r="BT382" s="67"/>
      <c r="BU382" s="67"/>
    </row>
    <row r="383" spans="15:73" x14ac:dyDescent="0.2"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  <c r="AE383" s="67"/>
      <c r="AF383" s="67"/>
      <c r="AG383" s="67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  <c r="AV383" s="67"/>
      <c r="AW383" s="67"/>
      <c r="AX383" s="67"/>
      <c r="AY383" s="67"/>
      <c r="AZ383" s="67"/>
      <c r="BA383" s="67"/>
      <c r="BB383" s="67"/>
      <c r="BC383" s="67"/>
      <c r="BD383" s="67"/>
      <c r="BE383" s="67"/>
      <c r="BF383" s="67"/>
      <c r="BG383" s="67"/>
      <c r="BH383" s="67"/>
      <c r="BI383" s="67"/>
      <c r="BJ383" s="67"/>
      <c r="BK383" s="67"/>
      <c r="BL383" s="67"/>
      <c r="BM383" s="67"/>
      <c r="BN383" s="67"/>
      <c r="BO383" s="67"/>
      <c r="BP383" s="67"/>
      <c r="BQ383" s="67"/>
      <c r="BR383" s="67"/>
      <c r="BS383" s="67"/>
      <c r="BT383" s="67"/>
      <c r="BU383" s="67"/>
    </row>
    <row r="384" spans="15:73" x14ac:dyDescent="0.2"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  <c r="AE384" s="67"/>
      <c r="AF384" s="67"/>
      <c r="AG384" s="67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  <c r="AV384" s="67"/>
      <c r="AW384" s="67"/>
      <c r="AX384" s="67"/>
      <c r="AY384" s="67"/>
      <c r="AZ384" s="67"/>
      <c r="BA384" s="67"/>
      <c r="BB384" s="67"/>
      <c r="BC384" s="67"/>
      <c r="BD384" s="67"/>
      <c r="BE384" s="67"/>
      <c r="BF384" s="67"/>
      <c r="BG384" s="67"/>
      <c r="BH384" s="67"/>
      <c r="BI384" s="67"/>
      <c r="BJ384" s="67"/>
      <c r="BK384" s="67"/>
      <c r="BL384" s="67"/>
      <c r="BM384" s="67"/>
      <c r="BN384" s="67"/>
      <c r="BO384" s="67"/>
      <c r="BP384" s="67"/>
      <c r="BQ384" s="67"/>
      <c r="BR384" s="67"/>
      <c r="BS384" s="67"/>
      <c r="BT384" s="67"/>
      <c r="BU384" s="67"/>
    </row>
    <row r="385" spans="15:73" x14ac:dyDescent="0.2"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  <c r="AE385" s="67"/>
      <c r="AF385" s="67"/>
      <c r="AG385" s="67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  <c r="AV385" s="67"/>
      <c r="AW385" s="67"/>
      <c r="AX385" s="67"/>
      <c r="AY385" s="67"/>
      <c r="AZ385" s="67"/>
      <c r="BA385" s="67"/>
      <c r="BB385" s="67"/>
      <c r="BC385" s="67"/>
      <c r="BD385" s="67"/>
      <c r="BE385" s="67"/>
      <c r="BF385" s="67"/>
      <c r="BG385" s="67"/>
      <c r="BH385" s="67"/>
      <c r="BI385" s="67"/>
      <c r="BJ385" s="67"/>
      <c r="BK385" s="67"/>
      <c r="BL385" s="67"/>
      <c r="BM385" s="67"/>
      <c r="BN385" s="67"/>
      <c r="BO385" s="67"/>
      <c r="BP385" s="67"/>
      <c r="BQ385" s="67"/>
      <c r="BR385" s="67"/>
      <c r="BS385" s="67"/>
      <c r="BT385" s="67"/>
      <c r="BU385" s="67"/>
    </row>
    <row r="386" spans="15:73" x14ac:dyDescent="0.2"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  <c r="AE386" s="67"/>
      <c r="AF386" s="67"/>
      <c r="AG386" s="67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  <c r="AV386" s="67"/>
      <c r="AW386" s="67"/>
      <c r="AX386" s="67"/>
      <c r="AY386" s="67"/>
      <c r="AZ386" s="67"/>
      <c r="BA386" s="67"/>
      <c r="BB386" s="67"/>
      <c r="BC386" s="67"/>
      <c r="BD386" s="67"/>
      <c r="BE386" s="67"/>
      <c r="BF386" s="67"/>
      <c r="BG386" s="67"/>
      <c r="BH386" s="67"/>
      <c r="BI386" s="67"/>
      <c r="BJ386" s="67"/>
      <c r="BK386" s="67"/>
      <c r="BL386" s="67"/>
      <c r="BM386" s="67"/>
      <c r="BN386" s="67"/>
      <c r="BO386" s="67"/>
      <c r="BP386" s="67"/>
      <c r="BQ386" s="67"/>
      <c r="BR386" s="67"/>
      <c r="BS386" s="67"/>
      <c r="BT386" s="67"/>
      <c r="BU386" s="67"/>
    </row>
    <row r="387" spans="15:73" x14ac:dyDescent="0.2"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  <c r="AD387" s="67"/>
      <c r="AE387" s="67"/>
      <c r="AF387" s="67"/>
      <c r="AG387" s="67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  <c r="AV387" s="67"/>
      <c r="AW387" s="67"/>
      <c r="AX387" s="67"/>
      <c r="AY387" s="67"/>
      <c r="AZ387" s="67"/>
      <c r="BA387" s="67"/>
      <c r="BB387" s="67"/>
      <c r="BC387" s="67"/>
      <c r="BD387" s="67"/>
      <c r="BE387" s="67"/>
      <c r="BF387" s="67"/>
      <c r="BG387" s="67"/>
      <c r="BH387" s="67"/>
      <c r="BI387" s="67"/>
      <c r="BJ387" s="67"/>
      <c r="BK387" s="67"/>
      <c r="BL387" s="67"/>
      <c r="BM387" s="67"/>
      <c r="BN387" s="67"/>
      <c r="BO387" s="67"/>
      <c r="BP387" s="67"/>
      <c r="BQ387" s="67"/>
      <c r="BR387" s="67"/>
      <c r="BS387" s="67"/>
      <c r="BT387" s="67"/>
      <c r="BU387" s="67"/>
    </row>
    <row r="388" spans="15:73" x14ac:dyDescent="0.2"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  <c r="AD388" s="67"/>
      <c r="AE388" s="67"/>
      <c r="AF388" s="67"/>
      <c r="AG388" s="67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  <c r="AV388" s="67"/>
      <c r="AW388" s="67"/>
      <c r="AX388" s="67"/>
      <c r="AY388" s="67"/>
      <c r="AZ388" s="67"/>
      <c r="BA388" s="67"/>
      <c r="BB388" s="67"/>
      <c r="BC388" s="67"/>
      <c r="BD388" s="67"/>
      <c r="BE388" s="67"/>
      <c r="BF388" s="67"/>
      <c r="BG388" s="67"/>
      <c r="BH388" s="67"/>
      <c r="BI388" s="67"/>
      <c r="BJ388" s="67"/>
      <c r="BK388" s="67"/>
      <c r="BL388" s="67"/>
      <c r="BM388" s="67"/>
      <c r="BN388" s="67"/>
      <c r="BO388" s="67"/>
      <c r="BP388" s="67"/>
      <c r="BQ388" s="67"/>
      <c r="BR388" s="67"/>
      <c r="BS388" s="67"/>
      <c r="BT388" s="67"/>
      <c r="BU388" s="67"/>
    </row>
    <row r="389" spans="15:73" x14ac:dyDescent="0.2"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  <c r="AE389" s="67"/>
      <c r="AF389" s="67"/>
      <c r="AG389" s="67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  <c r="BB389" s="67"/>
      <c r="BC389" s="67"/>
      <c r="BD389" s="67"/>
      <c r="BE389" s="67"/>
      <c r="BF389" s="67"/>
      <c r="BG389" s="67"/>
      <c r="BH389" s="67"/>
      <c r="BI389" s="67"/>
      <c r="BJ389" s="67"/>
      <c r="BK389" s="67"/>
      <c r="BL389" s="67"/>
      <c r="BM389" s="67"/>
      <c r="BN389" s="67"/>
      <c r="BO389" s="67"/>
      <c r="BP389" s="67"/>
      <c r="BQ389" s="67"/>
      <c r="BR389" s="67"/>
      <c r="BS389" s="67"/>
      <c r="BT389" s="67"/>
      <c r="BU389" s="67"/>
    </row>
    <row r="390" spans="15:73" x14ac:dyDescent="0.2"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  <c r="AN390" s="67"/>
      <c r="AO390" s="67"/>
      <c r="AP390" s="67"/>
      <c r="AQ390" s="67"/>
      <c r="AR390" s="67"/>
      <c r="AS390" s="67"/>
      <c r="AT390" s="67"/>
      <c r="AU390" s="67"/>
      <c r="AV390" s="67"/>
      <c r="AW390" s="67"/>
      <c r="AX390" s="67"/>
      <c r="AY390" s="67"/>
      <c r="AZ390" s="67"/>
      <c r="BA390" s="67"/>
      <c r="BB390" s="67"/>
      <c r="BC390" s="67"/>
      <c r="BD390" s="67"/>
      <c r="BE390" s="67"/>
      <c r="BF390" s="67"/>
      <c r="BG390" s="67"/>
      <c r="BH390" s="67"/>
      <c r="BI390" s="67"/>
      <c r="BJ390" s="67"/>
      <c r="BK390" s="67"/>
      <c r="BL390" s="67"/>
      <c r="BM390" s="67"/>
      <c r="BN390" s="67"/>
      <c r="BO390" s="67"/>
      <c r="BP390" s="67"/>
      <c r="BQ390" s="67"/>
      <c r="BR390" s="67"/>
      <c r="BS390" s="67"/>
      <c r="BT390" s="67"/>
      <c r="BU390" s="67"/>
    </row>
    <row r="391" spans="15:73" x14ac:dyDescent="0.2"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  <c r="AV391" s="67"/>
      <c r="AW391" s="67"/>
      <c r="AX391" s="67"/>
      <c r="AY391" s="67"/>
      <c r="AZ391" s="67"/>
      <c r="BA391" s="67"/>
      <c r="BB391" s="67"/>
      <c r="BC391" s="67"/>
      <c r="BD391" s="67"/>
      <c r="BE391" s="67"/>
      <c r="BF391" s="67"/>
      <c r="BG391" s="67"/>
      <c r="BH391" s="67"/>
      <c r="BI391" s="67"/>
      <c r="BJ391" s="67"/>
      <c r="BK391" s="67"/>
      <c r="BL391" s="67"/>
      <c r="BM391" s="67"/>
      <c r="BN391" s="67"/>
      <c r="BO391" s="67"/>
      <c r="BP391" s="67"/>
      <c r="BQ391" s="67"/>
      <c r="BR391" s="67"/>
      <c r="BS391" s="67"/>
      <c r="BT391" s="67"/>
      <c r="BU391" s="67"/>
    </row>
    <row r="392" spans="15:73" x14ac:dyDescent="0.2"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  <c r="AV392" s="67"/>
      <c r="AW392" s="67"/>
      <c r="AX392" s="67"/>
      <c r="AY392" s="67"/>
      <c r="AZ392" s="67"/>
      <c r="BA392" s="67"/>
      <c r="BB392" s="67"/>
      <c r="BC392" s="67"/>
      <c r="BD392" s="67"/>
      <c r="BE392" s="67"/>
      <c r="BF392" s="67"/>
      <c r="BG392" s="67"/>
      <c r="BH392" s="67"/>
      <c r="BI392" s="67"/>
      <c r="BJ392" s="67"/>
      <c r="BK392" s="67"/>
      <c r="BL392" s="67"/>
      <c r="BM392" s="67"/>
      <c r="BN392" s="67"/>
      <c r="BO392" s="67"/>
      <c r="BP392" s="67"/>
      <c r="BQ392" s="67"/>
      <c r="BR392" s="67"/>
      <c r="BS392" s="67"/>
      <c r="BT392" s="67"/>
      <c r="BU392" s="67"/>
    </row>
    <row r="393" spans="15:73" x14ac:dyDescent="0.2"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  <c r="AV393" s="67"/>
      <c r="AW393" s="67"/>
      <c r="AX393" s="67"/>
      <c r="AY393" s="67"/>
      <c r="AZ393" s="67"/>
      <c r="BA393" s="67"/>
      <c r="BB393" s="67"/>
      <c r="BC393" s="67"/>
      <c r="BD393" s="67"/>
      <c r="BE393" s="67"/>
      <c r="BF393" s="67"/>
      <c r="BG393" s="67"/>
      <c r="BH393" s="67"/>
      <c r="BI393" s="67"/>
      <c r="BJ393" s="67"/>
      <c r="BK393" s="67"/>
      <c r="BL393" s="67"/>
      <c r="BM393" s="67"/>
      <c r="BN393" s="67"/>
      <c r="BO393" s="67"/>
      <c r="BP393" s="67"/>
      <c r="BQ393" s="67"/>
      <c r="BR393" s="67"/>
      <c r="BS393" s="67"/>
      <c r="BT393" s="67"/>
      <c r="BU393" s="67"/>
    </row>
    <row r="394" spans="15:73" x14ac:dyDescent="0.2"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  <c r="AV394" s="67"/>
      <c r="AW394" s="67"/>
      <c r="AX394" s="67"/>
      <c r="AY394" s="67"/>
      <c r="AZ394" s="67"/>
      <c r="BA394" s="67"/>
      <c r="BB394" s="67"/>
      <c r="BC394" s="67"/>
      <c r="BD394" s="67"/>
      <c r="BE394" s="67"/>
      <c r="BF394" s="67"/>
      <c r="BG394" s="67"/>
      <c r="BH394" s="67"/>
      <c r="BI394" s="67"/>
      <c r="BJ394" s="67"/>
      <c r="BK394" s="67"/>
      <c r="BL394" s="67"/>
      <c r="BM394" s="67"/>
      <c r="BN394" s="67"/>
      <c r="BO394" s="67"/>
      <c r="BP394" s="67"/>
      <c r="BQ394" s="67"/>
      <c r="BR394" s="67"/>
      <c r="BS394" s="67"/>
      <c r="BT394" s="67"/>
      <c r="BU394" s="67"/>
    </row>
    <row r="395" spans="15:73" x14ac:dyDescent="0.2"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  <c r="AV395" s="67"/>
      <c r="AW395" s="67"/>
      <c r="AX395" s="67"/>
      <c r="AY395" s="67"/>
      <c r="AZ395" s="67"/>
      <c r="BA395" s="67"/>
      <c r="BB395" s="67"/>
      <c r="BC395" s="67"/>
      <c r="BD395" s="67"/>
      <c r="BE395" s="67"/>
      <c r="BF395" s="67"/>
      <c r="BG395" s="67"/>
      <c r="BH395" s="67"/>
      <c r="BI395" s="67"/>
      <c r="BJ395" s="67"/>
      <c r="BK395" s="67"/>
      <c r="BL395" s="67"/>
      <c r="BM395" s="67"/>
      <c r="BN395" s="67"/>
      <c r="BO395" s="67"/>
      <c r="BP395" s="67"/>
      <c r="BQ395" s="67"/>
      <c r="BR395" s="67"/>
      <c r="BS395" s="67"/>
      <c r="BT395" s="67"/>
      <c r="BU395" s="67"/>
    </row>
    <row r="396" spans="15:73" x14ac:dyDescent="0.2"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  <c r="AV396" s="67"/>
      <c r="AW396" s="67"/>
      <c r="AX396" s="67"/>
      <c r="AY396" s="67"/>
      <c r="AZ396" s="67"/>
      <c r="BA396" s="67"/>
      <c r="BB396" s="67"/>
      <c r="BC396" s="67"/>
      <c r="BD396" s="67"/>
      <c r="BE396" s="67"/>
      <c r="BF396" s="67"/>
      <c r="BG396" s="67"/>
      <c r="BH396" s="67"/>
      <c r="BI396" s="67"/>
      <c r="BJ396" s="67"/>
      <c r="BK396" s="67"/>
      <c r="BL396" s="67"/>
      <c r="BM396" s="67"/>
      <c r="BN396" s="67"/>
      <c r="BO396" s="67"/>
      <c r="BP396" s="67"/>
      <c r="BQ396" s="67"/>
      <c r="BR396" s="67"/>
      <c r="BS396" s="67"/>
      <c r="BT396" s="67"/>
      <c r="BU396" s="67"/>
    </row>
    <row r="397" spans="15:73" x14ac:dyDescent="0.2"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  <c r="AV397" s="67"/>
      <c r="AW397" s="67"/>
      <c r="AX397" s="67"/>
      <c r="AY397" s="67"/>
      <c r="AZ397" s="67"/>
      <c r="BA397" s="67"/>
      <c r="BB397" s="67"/>
      <c r="BC397" s="67"/>
      <c r="BD397" s="67"/>
      <c r="BE397" s="67"/>
      <c r="BF397" s="67"/>
      <c r="BG397" s="67"/>
      <c r="BH397" s="67"/>
      <c r="BI397" s="67"/>
      <c r="BJ397" s="67"/>
      <c r="BK397" s="67"/>
      <c r="BL397" s="67"/>
      <c r="BM397" s="67"/>
      <c r="BN397" s="67"/>
      <c r="BO397" s="67"/>
      <c r="BP397" s="67"/>
      <c r="BQ397" s="67"/>
      <c r="BR397" s="67"/>
      <c r="BS397" s="67"/>
      <c r="BT397" s="67"/>
      <c r="BU397" s="67"/>
    </row>
    <row r="398" spans="15:73" x14ac:dyDescent="0.2"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  <c r="AV398" s="67"/>
      <c r="AW398" s="67"/>
      <c r="AX398" s="67"/>
      <c r="AY398" s="67"/>
      <c r="AZ398" s="67"/>
      <c r="BA398" s="67"/>
      <c r="BB398" s="67"/>
      <c r="BC398" s="67"/>
      <c r="BD398" s="67"/>
      <c r="BE398" s="67"/>
      <c r="BF398" s="67"/>
      <c r="BG398" s="67"/>
      <c r="BH398" s="67"/>
      <c r="BI398" s="67"/>
      <c r="BJ398" s="67"/>
      <c r="BK398" s="67"/>
      <c r="BL398" s="67"/>
      <c r="BM398" s="67"/>
      <c r="BN398" s="67"/>
      <c r="BO398" s="67"/>
      <c r="BP398" s="67"/>
      <c r="BQ398" s="67"/>
      <c r="BR398" s="67"/>
      <c r="BS398" s="67"/>
      <c r="BT398" s="67"/>
      <c r="BU398" s="67"/>
    </row>
    <row r="399" spans="15:73" x14ac:dyDescent="0.2"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  <c r="AV399" s="67"/>
      <c r="AW399" s="67"/>
      <c r="AX399" s="67"/>
      <c r="AY399" s="67"/>
      <c r="AZ399" s="67"/>
      <c r="BA399" s="67"/>
      <c r="BB399" s="67"/>
      <c r="BC399" s="67"/>
      <c r="BD399" s="67"/>
      <c r="BE399" s="67"/>
      <c r="BF399" s="67"/>
      <c r="BG399" s="67"/>
      <c r="BH399" s="67"/>
      <c r="BI399" s="67"/>
      <c r="BJ399" s="67"/>
      <c r="BK399" s="67"/>
      <c r="BL399" s="67"/>
      <c r="BM399" s="67"/>
      <c r="BN399" s="67"/>
      <c r="BO399" s="67"/>
      <c r="BP399" s="67"/>
      <c r="BQ399" s="67"/>
      <c r="BR399" s="67"/>
      <c r="BS399" s="67"/>
      <c r="BT399" s="67"/>
      <c r="BU399" s="67"/>
    </row>
    <row r="400" spans="15:73" x14ac:dyDescent="0.2"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  <c r="AV400" s="67"/>
      <c r="AW400" s="67"/>
      <c r="AX400" s="67"/>
      <c r="AY400" s="67"/>
      <c r="AZ400" s="67"/>
      <c r="BA400" s="67"/>
      <c r="BB400" s="67"/>
      <c r="BC400" s="67"/>
      <c r="BD400" s="67"/>
      <c r="BE400" s="67"/>
      <c r="BF400" s="67"/>
      <c r="BG400" s="67"/>
      <c r="BH400" s="67"/>
      <c r="BI400" s="67"/>
      <c r="BJ400" s="67"/>
      <c r="BK400" s="67"/>
      <c r="BL400" s="67"/>
      <c r="BM400" s="67"/>
      <c r="BN400" s="67"/>
      <c r="BO400" s="67"/>
      <c r="BP400" s="67"/>
      <c r="BQ400" s="67"/>
      <c r="BR400" s="67"/>
      <c r="BS400" s="67"/>
      <c r="BT400" s="67"/>
      <c r="BU400" s="67"/>
    </row>
    <row r="401" spans="15:73" x14ac:dyDescent="0.2"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  <c r="AV401" s="67"/>
      <c r="AW401" s="67"/>
      <c r="AX401" s="67"/>
      <c r="AY401" s="67"/>
      <c r="AZ401" s="67"/>
      <c r="BA401" s="67"/>
      <c r="BB401" s="67"/>
      <c r="BC401" s="67"/>
      <c r="BD401" s="67"/>
      <c r="BE401" s="67"/>
      <c r="BF401" s="67"/>
      <c r="BG401" s="67"/>
      <c r="BH401" s="67"/>
      <c r="BI401" s="67"/>
      <c r="BJ401" s="67"/>
      <c r="BK401" s="67"/>
      <c r="BL401" s="67"/>
      <c r="BM401" s="67"/>
      <c r="BN401" s="67"/>
      <c r="BO401" s="67"/>
      <c r="BP401" s="67"/>
      <c r="BQ401" s="67"/>
      <c r="BR401" s="67"/>
      <c r="BS401" s="67"/>
      <c r="BT401" s="67"/>
      <c r="BU401" s="67"/>
    </row>
    <row r="402" spans="15:73" x14ac:dyDescent="0.2"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  <c r="AN402" s="67"/>
      <c r="AO402" s="67"/>
      <c r="AP402" s="67"/>
      <c r="AQ402" s="67"/>
      <c r="AR402" s="67"/>
      <c r="AS402" s="67"/>
      <c r="AT402" s="67"/>
      <c r="AU402" s="67"/>
      <c r="AV402" s="67"/>
      <c r="AW402" s="67"/>
      <c r="AX402" s="67"/>
      <c r="AY402" s="67"/>
      <c r="AZ402" s="67"/>
      <c r="BA402" s="67"/>
      <c r="BB402" s="67"/>
      <c r="BC402" s="67"/>
      <c r="BD402" s="67"/>
      <c r="BE402" s="67"/>
      <c r="BF402" s="67"/>
      <c r="BG402" s="67"/>
      <c r="BH402" s="67"/>
      <c r="BI402" s="67"/>
      <c r="BJ402" s="67"/>
      <c r="BK402" s="67"/>
      <c r="BL402" s="67"/>
      <c r="BM402" s="67"/>
      <c r="BN402" s="67"/>
      <c r="BO402" s="67"/>
      <c r="BP402" s="67"/>
      <c r="BQ402" s="67"/>
      <c r="BR402" s="67"/>
      <c r="BS402" s="67"/>
      <c r="BT402" s="67"/>
      <c r="BU402" s="67"/>
    </row>
    <row r="403" spans="15:73" x14ac:dyDescent="0.2"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  <c r="AV403" s="67"/>
      <c r="AW403" s="67"/>
      <c r="AX403" s="67"/>
      <c r="AY403" s="67"/>
      <c r="AZ403" s="67"/>
      <c r="BA403" s="67"/>
      <c r="BB403" s="67"/>
      <c r="BC403" s="67"/>
      <c r="BD403" s="67"/>
      <c r="BE403" s="67"/>
      <c r="BF403" s="67"/>
      <c r="BG403" s="67"/>
      <c r="BH403" s="67"/>
      <c r="BI403" s="67"/>
      <c r="BJ403" s="67"/>
      <c r="BK403" s="67"/>
      <c r="BL403" s="67"/>
      <c r="BM403" s="67"/>
      <c r="BN403" s="67"/>
      <c r="BO403" s="67"/>
      <c r="BP403" s="67"/>
      <c r="BQ403" s="67"/>
      <c r="BR403" s="67"/>
      <c r="BS403" s="67"/>
      <c r="BT403" s="67"/>
      <c r="BU403" s="67"/>
    </row>
    <row r="404" spans="15:73" x14ac:dyDescent="0.2"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  <c r="AV404" s="67"/>
      <c r="AW404" s="67"/>
      <c r="AX404" s="67"/>
      <c r="AY404" s="67"/>
      <c r="AZ404" s="67"/>
      <c r="BA404" s="67"/>
      <c r="BB404" s="67"/>
      <c r="BC404" s="67"/>
      <c r="BD404" s="67"/>
      <c r="BE404" s="67"/>
      <c r="BF404" s="67"/>
      <c r="BG404" s="67"/>
      <c r="BH404" s="67"/>
      <c r="BI404" s="67"/>
      <c r="BJ404" s="67"/>
      <c r="BK404" s="67"/>
      <c r="BL404" s="67"/>
      <c r="BM404" s="67"/>
      <c r="BN404" s="67"/>
      <c r="BO404" s="67"/>
      <c r="BP404" s="67"/>
      <c r="BQ404" s="67"/>
      <c r="BR404" s="67"/>
      <c r="BS404" s="67"/>
      <c r="BT404" s="67"/>
      <c r="BU404" s="67"/>
    </row>
    <row r="405" spans="15:73" x14ac:dyDescent="0.2"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  <c r="AN405" s="67"/>
      <c r="AO405" s="67"/>
      <c r="AP405" s="67"/>
      <c r="AQ405" s="67"/>
      <c r="AR405" s="67"/>
      <c r="AS405" s="67"/>
      <c r="AT405" s="67"/>
      <c r="AU405" s="67"/>
      <c r="AV405" s="67"/>
      <c r="AW405" s="67"/>
      <c r="AX405" s="67"/>
      <c r="AY405" s="67"/>
      <c r="AZ405" s="67"/>
      <c r="BA405" s="67"/>
      <c r="BB405" s="67"/>
      <c r="BC405" s="67"/>
      <c r="BD405" s="67"/>
      <c r="BE405" s="67"/>
      <c r="BF405" s="67"/>
      <c r="BG405" s="67"/>
      <c r="BH405" s="67"/>
      <c r="BI405" s="67"/>
      <c r="BJ405" s="67"/>
      <c r="BK405" s="67"/>
      <c r="BL405" s="67"/>
      <c r="BM405" s="67"/>
      <c r="BN405" s="67"/>
      <c r="BO405" s="67"/>
      <c r="BP405" s="67"/>
      <c r="BQ405" s="67"/>
      <c r="BR405" s="67"/>
      <c r="BS405" s="67"/>
      <c r="BT405" s="67"/>
      <c r="BU405" s="67"/>
    </row>
    <row r="406" spans="15:73" x14ac:dyDescent="0.2"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  <c r="AV406" s="67"/>
      <c r="AW406" s="67"/>
      <c r="AX406" s="67"/>
      <c r="AY406" s="67"/>
      <c r="AZ406" s="67"/>
      <c r="BA406" s="67"/>
      <c r="BB406" s="67"/>
      <c r="BC406" s="67"/>
      <c r="BD406" s="67"/>
      <c r="BE406" s="67"/>
      <c r="BF406" s="67"/>
      <c r="BG406" s="67"/>
      <c r="BH406" s="67"/>
      <c r="BI406" s="67"/>
      <c r="BJ406" s="67"/>
      <c r="BK406" s="67"/>
      <c r="BL406" s="67"/>
      <c r="BM406" s="67"/>
      <c r="BN406" s="67"/>
      <c r="BO406" s="67"/>
      <c r="BP406" s="67"/>
      <c r="BQ406" s="67"/>
      <c r="BR406" s="67"/>
      <c r="BS406" s="67"/>
      <c r="BT406" s="67"/>
      <c r="BU406" s="67"/>
    </row>
    <row r="407" spans="15:73" x14ac:dyDescent="0.2"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  <c r="AV407" s="67"/>
      <c r="AW407" s="67"/>
      <c r="AX407" s="67"/>
      <c r="AY407" s="67"/>
      <c r="AZ407" s="67"/>
      <c r="BA407" s="67"/>
      <c r="BB407" s="67"/>
      <c r="BC407" s="67"/>
      <c r="BD407" s="67"/>
      <c r="BE407" s="67"/>
      <c r="BF407" s="67"/>
      <c r="BG407" s="67"/>
      <c r="BH407" s="67"/>
      <c r="BI407" s="67"/>
      <c r="BJ407" s="67"/>
      <c r="BK407" s="67"/>
      <c r="BL407" s="67"/>
      <c r="BM407" s="67"/>
      <c r="BN407" s="67"/>
      <c r="BO407" s="67"/>
      <c r="BP407" s="67"/>
      <c r="BQ407" s="67"/>
      <c r="BR407" s="67"/>
      <c r="BS407" s="67"/>
      <c r="BT407" s="67"/>
      <c r="BU407" s="67"/>
    </row>
    <row r="408" spans="15:73" x14ac:dyDescent="0.2"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  <c r="BB408" s="67"/>
      <c r="BC408" s="67"/>
      <c r="BD408" s="67"/>
      <c r="BE408" s="67"/>
      <c r="BF408" s="67"/>
      <c r="BG408" s="67"/>
      <c r="BH408" s="67"/>
      <c r="BI408" s="67"/>
      <c r="BJ408" s="67"/>
      <c r="BK408" s="67"/>
      <c r="BL408" s="67"/>
      <c r="BM408" s="67"/>
      <c r="BN408" s="67"/>
      <c r="BO408" s="67"/>
      <c r="BP408" s="67"/>
      <c r="BQ408" s="67"/>
      <c r="BR408" s="67"/>
      <c r="BS408" s="67"/>
      <c r="BT408" s="67"/>
      <c r="BU408" s="67"/>
    </row>
    <row r="409" spans="15:73" x14ac:dyDescent="0.2"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  <c r="AV409" s="67"/>
      <c r="AW409" s="67"/>
      <c r="AX409" s="67"/>
      <c r="AY409" s="67"/>
      <c r="AZ409" s="67"/>
      <c r="BA409" s="67"/>
      <c r="BB409" s="67"/>
      <c r="BC409" s="67"/>
      <c r="BD409" s="67"/>
      <c r="BE409" s="67"/>
      <c r="BF409" s="67"/>
      <c r="BG409" s="67"/>
      <c r="BH409" s="67"/>
      <c r="BI409" s="67"/>
      <c r="BJ409" s="67"/>
      <c r="BK409" s="67"/>
      <c r="BL409" s="67"/>
      <c r="BM409" s="67"/>
      <c r="BN409" s="67"/>
      <c r="BO409" s="67"/>
      <c r="BP409" s="67"/>
      <c r="BQ409" s="67"/>
      <c r="BR409" s="67"/>
      <c r="BS409" s="67"/>
      <c r="BT409" s="67"/>
      <c r="BU409" s="67"/>
    </row>
    <row r="410" spans="15:73" x14ac:dyDescent="0.2"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  <c r="AV410" s="67"/>
      <c r="AW410" s="67"/>
      <c r="AX410" s="67"/>
      <c r="AY410" s="67"/>
      <c r="AZ410" s="67"/>
      <c r="BA410" s="67"/>
      <c r="BB410" s="67"/>
      <c r="BC410" s="67"/>
      <c r="BD410" s="67"/>
      <c r="BE410" s="67"/>
      <c r="BF410" s="67"/>
      <c r="BG410" s="67"/>
      <c r="BH410" s="67"/>
      <c r="BI410" s="67"/>
      <c r="BJ410" s="67"/>
      <c r="BK410" s="67"/>
      <c r="BL410" s="67"/>
      <c r="BM410" s="67"/>
      <c r="BN410" s="67"/>
      <c r="BO410" s="67"/>
      <c r="BP410" s="67"/>
      <c r="BQ410" s="67"/>
      <c r="BR410" s="67"/>
      <c r="BS410" s="67"/>
      <c r="BT410" s="67"/>
      <c r="BU410" s="67"/>
    </row>
    <row r="411" spans="15:73" x14ac:dyDescent="0.2"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  <c r="AV411" s="67"/>
      <c r="AW411" s="67"/>
      <c r="AX411" s="67"/>
      <c r="AY411" s="67"/>
      <c r="AZ411" s="67"/>
      <c r="BA411" s="67"/>
      <c r="BB411" s="67"/>
      <c r="BC411" s="67"/>
      <c r="BD411" s="67"/>
      <c r="BE411" s="67"/>
      <c r="BF411" s="67"/>
      <c r="BG411" s="67"/>
      <c r="BH411" s="67"/>
      <c r="BI411" s="67"/>
      <c r="BJ411" s="67"/>
      <c r="BK411" s="67"/>
      <c r="BL411" s="67"/>
      <c r="BM411" s="67"/>
      <c r="BN411" s="67"/>
      <c r="BO411" s="67"/>
      <c r="BP411" s="67"/>
      <c r="BQ411" s="67"/>
      <c r="BR411" s="67"/>
      <c r="BS411" s="67"/>
      <c r="BT411" s="67"/>
      <c r="BU411" s="67"/>
    </row>
    <row r="412" spans="15:73" x14ac:dyDescent="0.2"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  <c r="AO412" s="67"/>
      <c r="AP412" s="67"/>
      <c r="AQ412" s="67"/>
      <c r="AR412" s="67"/>
      <c r="AS412" s="67"/>
      <c r="AT412" s="67"/>
      <c r="AU412" s="67"/>
      <c r="AV412" s="67"/>
      <c r="AW412" s="67"/>
      <c r="AX412" s="67"/>
      <c r="AY412" s="67"/>
      <c r="AZ412" s="67"/>
      <c r="BA412" s="67"/>
      <c r="BB412" s="67"/>
      <c r="BC412" s="67"/>
      <c r="BD412" s="67"/>
      <c r="BE412" s="67"/>
      <c r="BF412" s="67"/>
      <c r="BG412" s="67"/>
      <c r="BH412" s="67"/>
      <c r="BI412" s="67"/>
      <c r="BJ412" s="67"/>
      <c r="BK412" s="67"/>
      <c r="BL412" s="67"/>
      <c r="BM412" s="67"/>
      <c r="BN412" s="67"/>
      <c r="BO412" s="67"/>
      <c r="BP412" s="67"/>
      <c r="BQ412" s="67"/>
      <c r="BR412" s="67"/>
      <c r="BS412" s="67"/>
      <c r="BT412" s="67"/>
      <c r="BU412" s="67"/>
    </row>
    <row r="413" spans="15:73" x14ac:dyDescent="0.2"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  <c r="AV413" s="67"/>
      <c r="AW413" s="67"/>
      <c r="AX413" s="67"/>
      <c r="AY413" s="67"/>
      <c r="AZ413" s="67"/>
      <c r="BA413" s="67"/>
      <c r="BB413" s="67"/>
      <c r="BC413" s="67"/>
      <c r="BD413" s="67"/>
      <c r="BE413" s="67"/>
      <c r="BF413" s="67"/>
      <c r="BG413" s="67"/>
      <c r="BH413" s="67"/>
      <c r="BI413" s="67"/>
      <c r="BJ413" s="67"/>
      <c r="BK413" s="67"/>
      <c r="BL413" s="67"/>
      <c r="BM413" s="67"/>
      <c r="BN413" s="67"/>
      <c r="BO413" s="67"/>
      <c r="BP413" s="67"/>
      <c r="BQ413" s="67"/>
      <c r="BR413" s="67"/>
      <c r="BS413" s="67"/>
      <c r="BT413" s="67"/>
      <c r="BU413" s="67"/>
    </row>
    <row r="414" spans="15:73" x14ac:dyDescent="0.2"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  <c r="AV414" s="67"/>
      <c r="AW414" s="67"/>
      <c r="AX414" s="67"/>
      <c r="AY414" s="67"/>
      <c r="AZ414" s="67"/>
      <c r="BA414" s="67"/>
      <c r="BB414" s="67"/>
      <c r="BC414" s="67"/>
      <c r="BD414" s="67"/>
      <c r="BE414" s="67"/>
      <c r="BF414" s="67"/>
      <c r="BG414" s="67"/>
      <c r="BH414" s="67"/>
      <c r="BI414" s="67"/>
      <c r="BJ414" s="67"/>
      <c r="BK414" s="67"/>
      <c r="BL414" s="67"/>
      <c r="BM414" s="67"/>
      <c r="BN414" s="67"/>
      <c r="BO414" s="67"/>
      <c r="BP414" s="67"/>
      <c r="BQ414" s="67"/>
      <c r="BR414" s="67"/>
      <c r="BS414" s="67"/>
      <c r="BT414" s="67"/>
      <c r="BU414" s="67"/>
    </row>
    <row r="415" spans="15:73" x14ac:dyDescent="0.2"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  <c r="AV415" s="67"/>
      <c r="AW415" s="67"/>
      <c r="AX415" s="67"/>
      <c r="AY415" s="67"/>
      <c r="AZ415" s="67"/>
      <c r="BA415" s="67"/>
      <c r="BB415" s="67"/>
      <c r="BC415" s="67"/>
      <c r="BD415" s="67"/>
      <c r="BE415" s="67"/>
      <c r="BF415" s="67"/>
      <c r="BG415" s="67"/>
      <c r="BH415" s="67"/>
      <c r="BI415" s="67"/>
      <c r="BJ415" s="67"/>
      <c r="BK415" s="67"/>
      <c r="BL415" s="67"/>
      <c r="BM415" s="67"/>
      <c r="BN415" s="67"/>
      <c r="BO415" s="67"/>
      <c r="BP415" s="67"/>
      <c r="BQ415" s="67"/>
      <c r="BR415" s="67"/>
      <c r="BS415" s="67"/>
      <c r="BT415" s="67"/>
      <c r="BU415" s="67"/>
    </row>
    <row r="416" spans="15:73" x14ac:dyDescent="0.2"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  <c r="AO416" s="67"/>
      <c r="AP416" s="67"/>
      <c r="AQ416" s="67"/>
      <c r="AR416" s="67"/>
      <c r="AS416" s="67"/>
      <c r="AT416" s="67"/>
      <c r="AU416" s="67"/>
      <c r="AV416" s="67"/>
      <c r="AW416" s="67"/>
      <c r="AX416" s="67"/>
      <c r="AY416" s="67"/>
      <c r="AZ416" s="67"/>
      <c r="BA416" s="67"/>
      <c r="BB416" s="67"/>
      <c r="BC416" s="67"/>
      <c r="BD416" s="67"/>
      <c r="BE416" s="67"/>
      <c r="BF416" s="67"/>
      <c r="BG416" s="67"/>
      <c r="BH416" s="67"/>
      <c r="BI416" s="67"/>
      <c r="BJ416" s="67"/>
      <c r="BK416" s="67"/>
      <c r="BL416" s="67"/>
      <c r="BM416" s="67"/>
      <c r="BN416" s="67"/>
      <c r="BO416" s="67"/>
      <c r="BP416" s="67"/>
      <c r="BQ416" s="67"/>
      <c r="BR416" s="67"/>
      <c r="BS416" s="67"/>
      <c r="BT416" s="67"/>
      <c r="BU416" s="67"/>
    </row>
    <row r="417" spans="15:73" x14ac:dyDescent="0.2"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  <c r="AO417" s="67"/>
      <c r="AP417" s="67"/>
      <c r="AQ417" s="67"/>
      <c r="AR417" s="67"/>
      <c r="AS417" s="67"/>
      <c r="AT417" s="67"/>
      <c r="AU417" s="67"/>
      <c r="AV417" s="67"/>
      <c r="AW417" s="67"/>
      <c r="AX417" s="67"/>
      <c r="AY417" s="67"/>
      <c r="AZ417" s="67"/>
      <c r="BA417" s="67"/>
      <c r="BB417" s="67"/>
      <c r="BC417" s="67"/>
      <c r="BD417" s="67"/>
      <c r="BE417" s="67"/>
      <c r="BF417" s="67"/>
      <c r="BG417" s="67"/>
      <c r="BH417" s="67"/>
      <c r="BI417" s="67"/>
      <c r="BJ417" s="67"/>
      <c r="BK417" s="67"/>
      <c r="BL417" s="67"/>
      <c r="BM417" s="67"/>
      <c r="BN417" s="67"/>
      <c r="BO417" s="67"/>
      <c r="BP417" s="67"/>
      <c r="BQ417" s="67"/>
      <c r="BR417" s="67"/>
      <c r="BS417" s="67"/>
      <c r="BT417" s="67"/>
      <c r="BU417" s="67"/>
    </row>
    <row r="418" spans="15:73" x14ac:dyDescent="0.2"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/>
      <c r="AM418" s="67"/>
      <c r="AN418" s="67"/>
      <c r="AO418" s="67"/>
      <c r="AP418" s="67"/>
      <c r="AQ418" s="67"/>
      <c r="AR418" s="67"/>
      <c r="AS418" s="67"/>
      <c r="AT418" s="67"/>
      <c r="AU418" s="67"/>
      <c r="AV418" s="67"/>
      <c r="AW418" s="67"/>
      <c r="AX418" s="67"/>
      <c r="AY418" s="67"/>
      <c r="AZ418" s="67"/>
      <c r="BA418" s="67"/>
      <c r="BB418" s="67"/>
      <c r="BC418" s="67"/>
      <c r="BD418" s="67"/>
      <c r="BE418" s="67"/>
      <c r="BF418" s="67"/>
      <c r="BG418" s="67"/>
      <c r="BH418" s="67"/>
      <c r="BI418" s="67"/>
      <c r="BJ418" s="67"/>
      <c r="BK418" s="67"/>
      <c r="BL418" s="67"/>
      <c r="BM418" s="67"/>
      <c r="BN418" s="67"/>
      <c r="BO418" s="67"/>
      <c r="BP418" s="67"/>
      <c r="BQ418" s="67"/>
      <c r="BR418" s="67"/>
      <c r="BS418" s="67"/>
      <c r="BT418" s="67"/>
      <c r="BU418" s="67"/>
    </row>
    <row r="419" spans="15:73" x14ac:dyDescent="0.2"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  <c r="AO419" s="67"/>
      <c r="AP419" s="67"/>
      <c r="AQ419" s="67"/>
      <c r="AR419" s="67"/>
      <c r="AS419" s="67"/>
      <c r="AT419" s="67"/>
      <c r="AU419" s="67"/>
      <c r="AV419" s="67"/>
      <c r="AW419" s="67"/>
      <c r="AX419" s="67"/>
      <c r="AY419" s="67"/>
      <c r="AZ419" s="67"/>
      <c r="BA419" s="67"/>
      <c r="BB419" s="67"/>
      <c r="BC419" s="67"/>
      <c r="BD419" s="67"/>
      <c r="BE419" s="67"/>
      <c r="BF419" s="67"/>
      <c r="BG419" s="67"/>
      <c r="BH419" s="67"/>
      <c r="BI419" s="67"/>
      <c r="BJ419" s="67"/>
      <c r="BK419" s="67"/>
      <c r="BL419" s="67"/>
      <c r="BM419" s="67"/>
      <c r="BN419" s="67"/>
      <c r="BO419" s="67"/>
      <c r="BP419" s="67"/>
      <c r="BQ419" s="67"/>
      <c r="BR419" s="67"/>
      <c r="BS419" s="67"/>
      <c r="BT419" s="67"/>
      <c r="BU419" s="67"/>
    </row>
    <row r="420" spans="15:73" x14ac:dyDescent="0.2"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  <c r="AO420" s="67"/>
      <c r="AP420" s="67"/>
      <c r="AQ420" s="67"/>
      <c r="AR420" s="67"/>
      <c r="AS420" s="67"/>
      <c r="AT420" s="67"/>
      <c r="AU420" s="67"/>
      <c r="AV420" s="67"/>
      <c r="AW420" s="67"/>
      <c r="AX420" s="67"/>
      <c r="AY420" s="67"/>
      <c r="AZ420" s="67"/>
      <c r="BA420" s="67"/>
      <c r="BB420" s="67"/>
      <c r="BC420" s="67"/>
      <c r="BD420" s="67"/>
      <c r="BE420" s="67"/>
      <c r="BF420" s="67"/>
      <c r="BG420" s="67"/>
      <c r="BH420" s="67"/>
      <c r="BI420" s="67"/>
      <c r="BJ420" s="67"/>
      <c r="BK420" s="67"/>
      <c r="BL420" s="67"/>
      <c r="BM420" s="67"/>
      <c r="BN420" s="67"/>
      <c r="BO420" s="67"/>
      <c r="BP420" s="67"/>
      <c r="BQ420" s="67"/>
      <c r="BR420" s="67"/>
      <c r="BS420" s="67"/>
      <c r="BT420" s="67"/>
      <c r="BU420" s="67"/>
    </row>
    <row r="421" spans="15:73" x14ac:dyDescent="0.2"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  <c r="AO421" s="67"/>
      <c r="AP421" s="67"/>
      <c r="AQ421" s="67"/>
      <c r="AR421" s="67"/>
      <c r="AS421" s="67"/>
      <c r="AT421" s="67"/>
      <c r="AU421" s="67"/>
      <c r="AV421" s="67"/>
      <c r="AW421" s="67"/>
      <c r="AX421" s="67"/>
      <c r="AY421" s="67"/>
      <c r="AZ421" s="67"/>
      <c r="BA421" s="67"/>
      <c r="BB421" s="67"/>
      <c r="BC421" s="67"/>
      <c r="BD421" s="67"/>
      <c r="BE421" s="67"/>
      <c r="BF421" s="67"/>
      <c r="BG421" s="67"/>
      <c r="BH421" s="67"/>
      <c r="BI421" s="67"/>
      <c r="BJ421" s="67"/>
      <c r="BK421" s="67"/>
      <c r="BL421" s="67"/>
      <c r="BM421" s="67"/>
      <c r="BN421" s="67"/>
      <c r="BO421" s="67"/>
      <c r="BP421" s="67"/>
      <c r="BQ421" s="67"/>
      <c r="BR421" s="67"/>
      <c r="BS421" s="67"/>
      <c r="BT421" s="67"/>
      <c r="BU421" s="67"/>
    </row>
    <row r="422" spans="15:73" x14ac:dyDescent="0.2"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  <c r="AO422" s="67"/>
      <c r="AP422" s="67"/>
      <c r="AQ422" s="67"/>
      <c r="AR422" s="67"/>
      <c r="AS422" s="67"/>
      <c r="AT422" s="67"/>
      <c r="AU422" s="67"/>
      <c r="AV422" s="67"/>
      <c r="AW422" s="67"/>
      <c r="AX422" s="67"/>
      <c r="AY422" s="67"/>
      <c r="AZ422" s="67"/>
      <c r="BA422" s="67"/>
      <c r="BB422" s="67"/>
      <c r="BC422" s="67"/>
      <c r="BD422" s="67"/>
      <c r="BE422" s="67"/>
      <c r="BF422" s="67"/>
      <c r="BG422" s="67"/>
      <c r="BH422" s="67"/>
      <c r="BI422" s="67"/>
      <c r="BJ422" s="67"/>
      <c r="BK422" s="67"/>
      <c r="BL422" s="67"/>
      <c r="BM422" s="67"/>
      <c r="BN422" s="67"/>
      <c r="BO422" s="67"/>
      <c r="BP422" s="67"/>
      <c r="BQ422" s="67"/>
      <c r="BR422" s="67"/>
      <c r="BS422" s="67"/>
      <c r="BT422" s="67"/>
      <c r="BU422" s="67"/>
    </row>
    <row r="423" spans="15:73" x14ac:dyDescent="0.2"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  <c r="AO423" s="67"/>
      <c r="AP423" s="67"/>
      <c r="AQ423" s="67"/>
      <c r="AR423" s="67"/>
      <c r="AS423" s="67"/>
      <c r="AT423" s="67"/>
      <c r="AU423" s="67"/>
      <c r="AV423" s="67"/>
      <c r="AW423" s="67"/>
      <c r="AX423" s="67"/>
      <c r="AY423" s="67"/>
      <c r="AZ423" s="67"/>
      <c r="BA423" s="67"/>
      <c r="BB423" s="67"/>
      <c r="BC423" s="67"/>
      <c r="BD423" s="67"/>
      <c r="BE423" s="67"/>
      <c r="BF423" s="67"/>
      <c r="BG423" s="67"/>
      <c r="BH423" s="67"/>
      <c r="BI423" s="67"/>
      <c r="BJ423" s="67"/>
      <c r="BK423" s="67"/>
      <c r="BL423" s="67"/>
      <c r="BM423" s="67"/>
      <c r="BN423" s="67"/>
      <c r="BO423" s="67"/>
      <c r="BP423" s="67"/>
      <c r="BQ423" s="67"/>
      <c r="BR423" s="67"/>
      <c r="BS423" s="67"/>
      <c r="BT423" s="67"/>
      <c r="BU423" s="67"/>
    </row>
    <row r="424" spans="15:73" x14ac:dyDescent="0.2"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  <c r="AO424" s="67"/>
      <c r="AP424" s="67"/>
      <c r="AQ424" s="67"/>
      <c r="AR424" s="67"/>
      <c r="AS424" s="67"/>
      <c r="AT424" s="67"/>
      <c r="AU424" s="67"/>
      <c r="AV424" s="67"/>
      <c r="AW424" s="67"/>
      <c r="AX424" s="67"/>
      <c r="AY424" s="67"/>
      <c r="AZ424" s="67"/>
      <c r="BA424" s="67"/>
      <c r="BB424" s="67"/>
      <c r="BC424" s="67"/>
      <c r="BD424" s="67"/>
      <c r="BE424" s="67"/>
      <c r="BF424" s="67"/>
      <c r="BG424" s="67"/>
      <c r="BH424" s="67"/>
      <c r="BI424" s="67"/>
      <c r="BJ424" s="67"/>
      <c r="BK424" s="67"/>
      <c r="BL424" s="67"/>
      <c r="BM424" s="67"/>
      <c r="BN424" s="67"/>
      <c r="BO424" s="67"/>
      <c r="BP424" s="67"/>
      <c r="BQ424" s="67"/>
      <c r="BR424" s="67"/>
      <c r="BS424" s="67"/>
      <c r="BT424" s="67"/>
      <c r="BU424" s="67"/>
    </row>
    <row r="425" spans="15:73" x14ac:dyDescent="0.2"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  <c r="AO425" s="67"/>
      <c r="AP425" s="67"/>
      <c r="AQ425" s="67"/>
      <c r="AR425" s="67"/>
      <c r="AS425" s="67"/>
      <c r="AT425" s="67"/>
      <c r="AU425" s="67"/>
      <c r="AV425" s="67"/>
      <c r="AW425" s="67"/>
      <c r="AX425" s="67"/>
      <c r="AY425" s="67"/>
      <c r="AZ425" s="67"/>
      <c r="BA425" s="67"/>
      <c r="BB425" s="67"/>
      <c r="BC425" s="67"/>
      <c r="BD425" s="67"/>
      <c r="BE425" s="67"/>
      <c r="BF425" s="67"/>
      <c r="BG425" s="67"/>
      <c r="BH425" s="67"/>
      <c r="BI425" s="67"/>
      <c r="BJ425" s="67"/>
      <c r="BK425" s="67"/>
      <c r="BL425" s="67"/>
      <c r="BM425" s="67"/>
      <c r="BN425" s="67"/>
      <c r="BO425" s="67"/>
      <c r="BP425" s="67"/>
      <c r="BQ425" s="67"/>
      <c r="BR425" s="67"/>
      <c r="BS425" s="67"/>
      <c r="BT425" s="67"/>
      <c r="BU425" s="67"/>
    </row>
    <row r="426" spans="15:73" x14ac:dyDescent="0.2"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  <c r="AO426" s="67"/>
      <c r="AP426" s="67"/>
      <c r="AQ426" s="67"/>
      <c r="AR426" s="67"/>
      <c r="AS426" s="67"/>
      <c r="AT426" s="67"/>
      <c r="AU426" s="67"/>
      <c r="AV426" s="67"/>
      <c r="AW426" s="67"/>
      <c r="AX426" s="67"/>
      <c r="AY426" s="67"/>
      <c r="AZ426" s="67"/>
      <c r="BA426" s="67"/>
      <c r="BB426" s="67"/>
      <c r="BC426" s="67"/>
      <c r="BD426" s="67"/>
      <c r="BE426" s="67"/>
      <c r="BF426" s="67"/>
      <c r="BG426" s="67"/>
      <c r="BH426" s="67"/>
      <c r="BI426" s="67"/>
      <c r="BJ426" s="67"/>
      <c r="BK426" s="67"/>
      <c r="BL426" s="67"/>
      <c r="BM426" s="67"/>
      <c r="BN426" s="67"/>
      <c r="BO426" s="67"/>
      <c r="BP426" s="67"/>
      <c r="BQ426" s="67"/>
      <c r="BR426" s="67"/>
      <c r="BS426" s="67"/>
      <c r="BT426" s="67"/>
      <c r="BU426" s="67"/>
    </row>
    <row r="427" spans="15:73" x14ac:dyDescent="0.2"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  <c r="AO427" s="67"/>
      <c r="AP427" s="67"/>
      <c r="AQ427" s="67"/>
      <c r="AR427" s="67"/>
      <c r="AS427" s="67"/>
      <c r="AT427" s="67"/>
      <c r="AU427" s="67"/>
      <c r="AV427" s="67"/>
      <c r="AW427" s="67"/>
      <c r="AX427" s="67"/>
      <c r="AY427" s="67"/>
      <c r="AZ427" s="67"/>
      <c r="BA427" s="67"/>
      <c r="BB427" s="67"/>
      <c r="BC427" s="67"/>
      <c r="BD427" s="67"/>
      <c r="BE427" s="67"/>
      <c r="BF427" s="67"/>
      <c r="BG427" s="67"/>
      <c r="BH427" s="67"/>
      <c r="BI427" s="67"/>
      <c r="BJ427" s="67"/>
      <c r="BK427" s="67"/>
      <c r="BL427" s="67"/>
      <c r="BM427" s="67"/>
      <c r="BN427" s="67"/>
      <c r="BO427" s="67"/>
      <c r="BP427" s="67"/>
      <c r="BQ427" s="67"/>
      <c r="BR427" s="67"/>
      <c r="BS427" s="67"/>
      <c r="BT427" s="67"/>
      <c r="BU427" s="67"/>
    </row>
    <row r="428" spans="15:73" x14ac:dyDescent="0.2"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  <c r="AO428" s="67"/>
      <c r="AP428" s="67"/>
      <c r="AQ428" s="67"/>
      <c r="AR428" s="67"/>
      <c r="AS428" s="67"/>
      <c r="AT428" s="67"/>
      <c r="AU428" s="67"/>
      <c r="AV428" s="67"/>
      <c r="AW428" s="67"/>
      <c r="AX428" s="67"/>
      <c r="AY428" s="67"/>
      <c r="AZ428" s="67"/>
      <c r="BA428" s="67"/>
      <c r="BB428" s="67"/>
      <c r="BC428" s="67"/>
      <c r="BD428" s="67"/>
      <c r="BE428" s="67"/>
      <c r="BF428" s="67"/>
      <c r="BG428" s="67"/>
      <c r="BH428" s="67"/>
      <c r="BI428" s="67"/>
      <c r="BJ428" s="67"/>
      <c r="BK428" s="67"/>
      <c r="BL428" s="67"/>
      <c r="BM428" s="67"/>
      <c r="BN428" s="67"/>
      <c r="BO428" s="67"/>
      <c r="BP428" s="67"/>
      <c r="BQ428" s="67"/>
      <c r="BR428" s="67"/>
      <c r="BS428" s="67"/>
      <c r="BT428" s="67"/>
      <c r="BU428" s="67"/>
    </row>
    <row r="429" spans="15:73" x14ac:dyDescent="0.2"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  <c r="AO429" s="67"/>
      <c r="AP429" s="67"/>
      <c r="AQ429" s="67"/>
      <c r="AR429" s="67"/>
      <c r="AS429" s="67"/>
      <c r="AT429" s="67"/>
      <c r="AU429" s="67"/>
      <c r="AV429" s="67"/>
      <c r="AW429" s="67"/>
      <c r="AX429" s="67"/>
      <c r="AY429" s="67"/>
      <c r="AZ429" s="67"/>
      <c r="BA429" s="67"/>
      <c r="BB429" s="67"/>
      <c r="BC429" s="67"/>
      <c r="BD429" s="67"/>
      <c r="BE429" s="67"/>
      <c r="BF429" s="67"/>
      <c r="BG429" s="67"/>
      <c r="BH429" s="67"/>
      <c r="BI429" s="67"/>
      <c r="BJ429" s="67"/>
      <c r="BK429" s="67"/>
      <c r="BL429" s="67"/>
      <c r="BM429" s="67"/>
      <c r="BN429" s="67"/>
      <c r="BO429" s="67"/>
      <c r="BP429" s="67"/>
      <c r="BQ429" s="67"/>
      <c r="BR429" s="67"/>
      <c r="BS429" s="67"/>
      <c r="BT429" s="67"/>
      <c r="BU429" s="67"/>
    </row>
    <row r="430" spans="15:73" x14ac:dyDescent="0.2"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  <c r="AO430" s="67"/>
      <c r="AP430" s="67"/>
      <c r="AQ430" s="67"/>
      <c r="AR430" s="67"/>
      <c r="AS430" s="67"/>
      <c r="AT430" s="67"/>
      <c r="AU430" s="67"/>
      <c r="AV430" s="67"/>
      <c r="AW430" s="67"/>
      <c r="AX430" s="67"/>
      <c r="AY430" s="67"/>
      <c r="AZ430" s="67"/>
      <c r="BA430" s="67"/>
      <c r="BB430" s="67"/>
      <c r="BC430" s="67"/>
      <c r="BD430" s="67"/>
      <c r="BE430" s="67"/>
      <c r="BF430" s="67"/>
      <c r="BG430" s="67"/>
      <c r="BH430" s="67"/>
      <c r="BI430" s="67"/>
      <c r="BJ430" s="67"/>
      <c r="BK430" s="67"/>
      <c r="BL430" s="67"/>
      <c r="BM430" s="67"/>
      <c r="BN430" s="67"/>
      <c r="BO430" s="67"/>
      <c r="BP430" s="67"/>
      <c r="BQ430" s="67"/>
      <c r="BR430" s="67"/>
      <c r="BS430" s="67"/>
      <c r="BT430" s="67"/>
      <c r="BU430" s="67"/>
    </row>
    <row r="431" spans="15:73" x14ac:dyDescent="0.2"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  <c r="AO431" s="67"/>
      <c r="AP431" s="67"/>
      <c r="AQ431" s="67"/>
      <c r="AR431" s="67"/>
      <c r="AS431" s="67"/>
      <c r="AT431" s="67"/>
      <c r="AU431" s="67"/>
      <c r="AV431" s="67"/>
      <c r="AW431" s="67"/>
      <c r="AX431" s="67"/>
      <c r="AY431" s="67"/>
      <c r="AZ431" s="67"/>
      <c r="BA431" s="67"/>
      <c r="BB431" s="67"/>
      <c r="BC431" s="67"/>
      <c r="BD431" s="67"/>
      <c r="BE431" s="67"/>
      <c r="BF431" s="67"/>
      <c r="BG431" s="67"/>
      <c r="BH431" s="67"/>
      <c r="BI431" s="67"/>
      <c r="BJ431" s="67"/>
      <c r="BK431" s="67"/>
      <c r="BL431" s="67"/>
      <c r="BM431" s="67"/>
      <c r="BN431" s="67"/>
      <c r="BO431" s="67"/>
      <c r="BP431" s="67"/>
      <c r="BQ431" s="67"/>
      <c r="BR431" s="67"/>
      <c r="BS431" s="67"/>
      <c r="BT431" s="67"/>
      <c r="BU431" s="67"/>
    </row>
    <row r="432" spans="15:73" x14ac:dyDescent="0.2"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  <c r="AO432" s="67"/>
      <c r="AP432" s="67"/>
      <c r="AQ432" s="67"/>
      <c r="AR432" s="67"/>
      <c r="AS432" s="67"/>
      <c r="AT432" s="67"/>
      <c r="AU432" s="67"/>
      <c r="AV432" s="67"/>
      <c r="AW432" s="67"/>
      <c r="AX432" s="67"/>
      <c r="AY432" s="67"/>
      <c r="AZ432" s="67"/>
      <c r="BA432" s="67"/>
      <c r="BB432" s="67"/>
      <c r="BC432" s="67"/>
      <c r="BD432" s="67"/>
      <c r="BE432" s="67"/>
      <c r="BF432" s="67"/>
      <c r="BG432" s="67"/>
      <c r="BH432" s="67"/>
      <c r="BI432" s="67"/>
      <c r="BJ432" s="67"/>
      <c r="BK432" s="67"/>
      <c r="BL432" s="67"/>
      <c r="BM432" s="67"/>
      <c r="BN432" s="67"/>
      <c r="BO432" s="67"/>
      <c r="BP432" s="67"/>
      <c r="BQ432" s="67"/>
      <c r="BR432" s="67"/>
      <c r="BS432" s="67"/>
      <c r="BT432" s="67"/>
      <c r="BU432" s="67"/>
    </row>
    <row r="433" spans="15:73" x14ac:dyDescent="0.2"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  <c r="AO433" s="67"/>
      <c r="AP433" s="67"/>
      <c r="AQ433" s="67"/>
      <c r="AR433" s="67"/>
      <c r="AS433" s="67"/>
      <c r="AT433" s="67"/>
      <c r="AU433" s="67"/>
      <c r="AV433" s="67"/>
      <c r="AW433" s="67"/>
      <c r="AX433" s="67"/>
      <c r="AY433" s="67"/>
      <c r="AZ433" s="67"/>
      <c r="BA433" s="67"/>
      <c r="BB433" s="67"/>
      <c r="BC433" s="67"/>
      <c r="BD433" s="67"/>
      <c r="BE433" s="67"/>
      <c r="BF433" s="67"/>
      <c r="BG433" s="67"/>
      <c r="BH433" s="67"/>
      <c r="BI433" s="67"/>
      <c r="BJ433" s="67"/>
      <c r="BK433" s="67"/>
      <c r="BL433" s="67"/>
      <c r="BM433" s="67"/>
      <c r="BN433" s="67"/>
      <c r="BO433" s="67"/>
      <c r="BP433" s="67"/>
      <c r="BQ433" s="67"/>
      <c r="BR433" s="67"/>
      <c r="BS433" s="67"/>
      <c r="BT433" s="67"/>
      <c r="BU433" s="67"/>
    </row>
    <row r="434" spans="15:73" x14ac:dyDescent="0.2"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  <c r="AO434" s="67"/>
      <c r="AP434" s="67"/>
      <c r="AQ434" s="67"/>
      <c r="AR434" s="67"/>
      <c r="AS434" s="67"/>
      <c r="AT434" s="67"/>
      <c r="AU434" s="67"/>
      <c r="AV434" s="67"/>
      <c r="AW434" s="67"/>
      <c r="AX434" s="67"/>
      <c r="AY434" s="67"/>
      <c r="AZ434" s="67"/>
      <c r="BA434" s="67"/>
      <c r="BB434" s="67"/>
      <c r="BC434" s="67"/>
      <c r="BD434" s="67"/>
      <c r="BE434" s="67"/>
      <c r="BF434" s="67"/>
      <c r="BG434" s="67"/>
      <c r="BH434" s="67"/>
      <c r="BI434" s="67"/>
      <c r="BJ434" s="67"/>
      <c r="BK434" s="67"/>
      <c r="BL434" s="67"/>
      <c r="BM434" s="67"/>
      <c r="BN434" s="67"/>
      <c r="BO434" s="67"/>
      <c r="BP434" s="67"/>
      <c r="BQ434" s="67"/>
      <c r="BR434" s="67"/>
      <c r="BS434" s="67"/>
      <c r="BT434" s="67"/>
      <c r="BU434" s="67"/>
    </row>
    <row r="435" spans="15:73" x14ac:dyDescent="0.2"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  <c r="AV435" s="67"/>
      <c r="AW435" s="67"/>
      <c r="AX435" s="67"/>
      <c r="AY435" s="67"/>
      <c r="AZ435" s="67"/>
      <c r="BA435" s="67"/>
      <c r="BB435" s="67"/>
      <c r="BC435" s="67"/>
      <c r="BD435" s="67"/>
      <c r="BE435" s="67"/>
      <c r="BF435" s="67"/>
      <c r="BG435" s="67"/>
      <c r="BH435" s="67"/>
      <c r="BI435" s="67"/>
      <c r="BJ435" s="67"/>
      <c r="BK435" s="67"/>
      <c r="BL435" s="67"/>
      <c r="BM435" s="67"/>
      <c r="BN435" s="67"/>
      <c r="BO435" s="67"/>
      <c r="BP435" s="67"/>
      <c r="BQ435" s="67"/>
      <c r="BR435" s="67"/>
      <c r="BS435" s="67"/>
      <c r="BT435" s="67"/>
      <c r="BU435" s="67"/>
    </row>
    <row r="436" spans="15:73" x14ac:dyDescent="0.2"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  <c r="AO436" s="67"/>
      <c r="AP436" s="67"/>
      <c r="AQ436" s="67"/>
      <c r="AR436" s="67"/>
      <c r="AS436" s="67"/>
      <c r="AT436" s="67"/>
      <c r="AU436" s="67"/>
      <c r="AV436" s="67"/>
      <c r="AW436" s="67"/>
      <c r="AX436" s="67"/>
      <c r="AY436" s="67"/>
      <c r="AZ436" s="67"/>
      <c r="BA436" s="67"/>
      <c r="BB436" s="67"/>
      <c r="BC436" s="67"/>
      <c r="BD436" s="67"/>
      <c r="BE436" s="67"/>
      <c r="BF436" s="67"/>
      <c r="BG436" s="67"/>
      <c r="BH436" s="67"/>
      <c r="BI436" s="67"/>
      <c r="BJ436" s="67"/>
      <c r="BK436" s="67"/>
      <c r="BL436" s="67"/>
      <c r="BM436" s="67"/>
      <c r="BN436" s="67"/>
      <c r="BO436" s="67"/>
      <c r="BP436" s="67"/>
      <c r="BQ436" s="67"/>
      <c r="BR436" s="67"/>
      <c r="BS436" s="67"/>
      <c r="BT436" s="67"/>
      <c r="BU436" s="67"/>
    </row>
    <row r="437" spans="15:73" x14ac:dyDescent="0.2"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/>
      <c r="AM437" s="67"/>
      <c r="AN437" s="67"/>
      <c r="AO437" s="67"/>
      <c r="AP437" s="67"/>
      <c r="AQ437" s="67"/>
      <c r="AR437" s="67"/>
      <c r="AS437" s="67"/>
      <c r="AT437" s="67"/>
      <c r="AU437" s="67"/>
      <c r="AV437" s="67"/>
      <c r="AW437" s="67"/>
      <c r="AX437" s="67"/>
      <c r="AY437" s="67"/>
      <c r="AZ437" s="67"/>
      <c r="BA437" s="67"/>
      <c r="BB437" s="67"/>
      <c r="BC437" s="67"/>
      <c r="BD437" s="67"/>
      <c r="BE437" s="67"/>
      <c r="BF437" s="67"/>
      <c r="BG437" s="67"/>
      <c r="BH437" s="67"/>
      <c r="BI437" s="67"/>
      <c r="BJ437" s="67"/>
      <c r="BK437" s="67"/>
      <c r="BL437" s="67"/>
      <c r="BM437" s="67"/>
      <c r="BN437" s="67"/>
      <c r="BO437" s="67"/>
      <c r="BP437" s="67"/>
      <c r="BQ437" s="67"/>
      <c r="BR437" s="67"/>
      <c r="BS437" s="67"/>
      <c r="BT437" s="67"/>
      <c r="BU437" s="67"/>
    </row>
    <row r="438" spans="15:73" x14ac:dyDescent="0.2"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  <c r="AO438" s="67"/>
      <c r="AP438" s="67"/>
      <c r="AQ438" s="67"/>
      <c r="AR438" s="67"/>
      <c r="AS438" s="67"/>
      <c r="AT438" s="67"/>
      <c r="AU438" s="67"/>
      <c r="AV438" s="67"/>
      <c r="AW438" s="67"/>
      <c r="AX438" s="67"/>
      <c r="AY438" s="67"/>
      <c r="AZ438" s="67"/>
      <c r="BA438" s="67"/>
      <c r="BB438" s="67"/>
      <c r="BC438" s="67"/>
      <c r="BD438" s="67"/>
      <c r="BE438" s="67"/>
      <c r="BF438" s="67"/>
      <c r="BG438" s="67"/>
      <c r="BH438" s="67"/>
      <c r="BI438" s="67"/>
      <c r="BJ438" s="67"/>
      <c r="BK438" s="67"/>
      <c r="BL438" s="67"/>
      <c r="BM438" s="67"/>
      <c r="BN438" s="67"/>
      <c r="BO438" s="67"/>
      <c r="BP438" s="67"/>
      <c r="BQ438" s="67"/>
      <c r="BR438" s="67"/>
      <c r="BS438" s="67"/>
      <c r="BT438" s="67"/>
      <c r="BU438" s="67"/>
    </row>
    <row r="439" spans="15:73" x14ac:dyDescent="0.2"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  <c r="AV439" s="67"/>
      <c r="AW439" s="67"/>
      <c r="AX439" s="67"/>
      <c r="AY439" s="67"/>
      <c r="AZ439" s="67"/>
      <c r="BA439" s="67"/>
      <c r="BB439" s="67"/>
      <c r="BC439" s="67"/>
      <c r="BD439" s="67"/>
      <c r="BE439" s="67"/>
      <c r="BF439" s="67"/>
      <c r="BG439" s="67"/>
      <c r="BH439" s="67"/>
      <c r="BI439" s="67"/>
      <c r="BJ439" s="67"/>
      <c r="BK439" s="67"/>
      <c r="BL439" s="67"/>
      <c r="BM439" s="67"/>
      <c r="BN439" s="67"/>
      <c r="BO439" s="67"/>
      <c r="BP439" s="67"/>
      <c r="BQ439" s="67"/>
      <c r="BR439" s="67"/>
      <c r="BS439" s="67"/>
      <c r="BT439" s="67"/>
      <c r="BU439" s="67"/>
    </row>
    <row r="440" spans="15:73" x14ac:dyDescent="0.2"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  <c r="AO440" s="67"/>
      <c r="AP440" s="67"/>
      <c r="AQ440" s="67"/>
      <c r="AR440" s="67"/>
      <c r="AS440" s="67"/>
      <c r="AT440" s="67"/>
      <c r="AU440" s="67"/>
      <c r="AV440" s="67"/>
      <c r="AW440" s="67"/>
      <c r="AX440" s="67"/>
      <c r="AY440" s="67"/>
      <c r="AZ440" s="67"/>
      <c r="BA440" s="67"/>
      <c r="BB440" s="67"/>
      <c r="BC440" s="67"/>
      <c r="BD440" s="67"/>
      <c r="BE440" s="67"/>
      <c r="BF440" s="67"/>
      <c r="BG440" s="67"/>
      <c r="BH440" s="67"/>
      <c r="BI440" s="67"/>
      <c r="BJ440" s="67"/>
      <c r="BK440" s="67"/>
      <c r="BL440" s="67"/>
      <c r="BM440" s="67"/>
      <c r="BN440" s="67"/>
      <c r="BO440" s="67"/>
      <c r="BP440" s="67"/>
      <c r="BQ440" s="67"/>
      <c r="BR440" s="67"/>
      <c r="BS440" s="67"/>
      <c r="BT440" s="67"/>
      <c r="BU440" s="67"/>
    </row>
    <row r="441" spans="15:73" x14ac:dyDescent="0.2"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  <c r="AO441" s="67"/>
      <c r="AP441" s="67"/>
      <c r="AQ441" s="67"/>
      <c r="AR441" s="67"/>
      <c r="AS441" s="67"/>
      <c r="AT441" s="67"/>
      <c r="AU441" s="67"/>
      <c r="AV441" s="67"/>
      <c r="AW441" s="67"/>
      <c r="AX441" s="67"/>
      <c r="AY441" s="67"/>
      <c r="AZ441" s="67"/>
      <c r="BA441" s="67"/>
      <c r="BB441" s="67"/>
      <c r="BC441" s="67"/>
      <c r="BD441" s="67"/>
      <c r="BE441" s="67"/>
      <c r="BF441" s="67"/>
      <c r="BG441" s="67"/>
      <c r="BH441" s="67"/>
      <c r="BI441" s="67"/>
      <c r="BJ441" s="67"/>
      <c r="BK441" s="67"/>
      <c r="BL441" s="67"/>
      <c r="BM441" s="67"/>
      <c r="BN441" s="67"/>
      <c r="BO441" s="67"/>
      <c r="BP441" s="67"/>
      <c r="BQ441" s="67"/>
      <c r="BR441" s="67"/>
      <c r="BS441" s="67"/>
      <c r="BT441" s="67"/>
      <c r="BU441" s="67"/>
    </row>
    <row r="442" spans="15:73" x14ac:dyDescent="0.2"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  <c r="AO442" s="67"/>
      <c r="AP442" s="67"/>
      <c r="AQ442" s="67"/>
      <c r="AR442" s="67"/>
      <c r="AS442" s="67"/>
      <c r="AT442" s="67"/>
      <c r="AU442" s="67"/>
      <c r="AV442" s="67"/>
      <c r="AW442" s="67"/>
      <c r="AX442" s="67"/>
      <c r="AY442" s="67"/>
      <c r="AZ442" s="67"/>
      <c r="BA442" s="67"/>
      <c r="BB442" s="67"/>
      <c r="BC442" s="67"/>
      <c r="BD442" s="67"/>
      <c r="BE442" s="67"/>
      <c r="BF442" s="67"/>
      <c r="BG442" s="67"/>
      <c r="BH442" s="67"/>
      <c r="BI442" s="67"/>
      <c r="BJ442" s="67"/>
      <c r="BK442" s="67"/>
      <c r="BL442" s="67"/>
      <c r="BM442" s="67"/>
      <c r="BN442" s="67"/>
      <c r="BO442" s="67"/>
      <c r="BP442" s="67"/>
      <c r="BQ442" s="67"/>
      <c r="BR442" s="67"/>
      <c r="BS442" s="67"/>
      <c r="BT442" s="67"/>
      <c r="BU442" s="67"/>
    </row>
    <row r="443" spans="15:73" x14ac:dyDescent="0.2"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  <c r="AN443" s="67"/>
      <c r="AO443" s="67"/>
      <c r="AP443" s="67"/>
      <c r="AQ443" s="67"/>
      <c r="AR443" s="67"/>
      <c r="AS443" s="67"/>
      <c r="AT443" s="67"/>
      <c r="AU443" s="67"/>
      <c r="AV443" s="67"/>
      <c r="AW443" s="67"/>
      <c r="AX443" s="67"/>
      <c r="AY443" s="67"/>
      <c r="AZ443" s="67"/>
      <c r="BA443" s="67"/>
      <c r="BB443" s="67"/>
      <c r="BC443" s="67"/>
      <c r="BD443" s="67"/>
      <c r="BE443" s="67"/>
      <c r="BF443" s="67"/>
      <c r="BG443" s="67"/>
      <c r="BH443" s="67"/>
      <c r="BI443" s="67"/>
      <c r="BJ443" s="67"/>
      <c r="BK443" s="67"/>
      <c r="BL443" s="67"/>
      <c r="BM443" s="67"/>
      <c r="BN443" s="67"/>
      <c r="BO443" s="67"/>
      <c r="BP443" s="67"/>
      <c r="BQ443" s="67"/>
      <c r="BR443" s="67"/>
      <c r="BS443" s="67"/>
      <c r="BT443" s="67"/>
      <c r="BU443" s="67"/>
    </row>
    <row r="444" spans="15:73" x14ac:dyDescent="0.2"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  <c r="AE444" s="67"/>
      <c r="AF444" s="67"/>
      <c r="AG444" s="67"/>
      <c r="AH444" s="67"/>
      <c r="AI444" s="67"/>
      <c r="AJ444" s="67"/>
      <c r="AK444" s="67"/>
      <c r="AL444" s="67"/>
      <c r="AM444" s="67"/>
      <c r="AN444" s="67"/>
      <c r="AO444" s="67"/>
      <c r="AP444" s="67"/>
      <c r="AQ444" s="67"/>
      <c r="AR444" s="67"/>
      <c r="AS444" s="67"/>
      <c r="AT444" s="67"/>
      <c r="AU444" s="67"/>
      <c r="AV444" s="67"/>
      <c r="AW444" s="67"/>
      <c r="AX444" s="67"/>
      <c r="AY444" s="67"/>
      <c r="AZ444" s="67"/>
      <c r="BA444" s="67"/>
      <c r="BB444" s="67"/>
      <c r="BC444" s="67"/>
      <c r="BD444" s="67"/>
      <c r="BE444" s="67"/>
      <c r="BF444" s="67"/>
      <c r="BG444" s="67"/>
      <c r="BH444" s="67"/>
      <c r="BI444" s="67"/>
      <c r="BJ444" s="67"/>
      <c r="BK444" s="67"/>
      <c r="BL444" s="67"/>
      <c r="BM444" s="67"/>
      <c r="BN444" s="67"/>
      <c r="BO444" s="67"/>
      <c r="BP444" s="67"/>
      <c r="BQ444" s="67"/>
      <c r="BR444" s="67"/>
      <c r="BS444" s="67"/>
      <c r="BT444" s="67"/>
      <c r="BU444" s="67"/>
    </row>
    <row r="445" spans="15:73" x14ac:dyDescent="0.2"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  <c r="AF445" s="67"/>
      <c r="AG445" s="67"/>
      <c r="AH445" s="67"/>
      <c r="AI445" s="67"/>
      <c r="AJ445" s="67"/>
      <c r="AK445" s="67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  <c r="AV445" s="67"/>
      <c r="AW445" s="67"/>
      <c r="AX445" s="67"/>
      <c r="AY445" s="67"/>
      <c r="AZ445" s="67"/>
      <c r="BA445" s="67"/>
      <c r="BB445" s="67"/>
      <c r="BC445" s="67"/>
      <c r="BD445" s="67"/>
      <c r="BE445" s="67"/>
      <c r="BF445" s="67"/>
      <c r="BG445" s="67"/>
      <c r="BH445" s="67"/>
      <c r="BI445" s="67"/>
      <c r="BJ445" s="67"/>
      <c r="BK445" s="67"/>
      <c r="BL445" s="67"/>
      <c r="BM445" s="67"/>
      <c r="BN445" s="67"/>
      <c r="BO445" s="67"/>
      <c r="BP445" s="67"/>
      <c r="BQ445" s="67"/>
      <c r="BR445" s="67"/>
      <c r="BS445" s="67"/>
      <c r="BT445" s="67"/>
      <c r="BU445" s="67"/>
    </row>
    <row r="446" spans="15:73" x14ac:dyDescent="0.2"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  <c r="AE446" s="67"/>
      <c r="AF446" s="67"/>
      <c r="AG446" s="67"/>
      <c r="AH446" s="67"/>
      <c r="AI446" s="67"/>
      <c r="AJ446" s="67"/>
      <c r="AK446" s="67"/>
      <c r="AL446" s="67"/>
      <c r="AM446" s="67"/>
      <c r="AN446" s="67"/>
      <c r="AO446" s="67"/>
      <c r="AP446" s="67"/>
      <c r="AQ446" s="67"/>
      <c r="AR446" s="67"/>
      <c r="AS446" s="67"/>
      <c r="AT446" s="67"/>
      <c r="AU446" s="67"/>
      <c r="AV446" s="67"/>
      <c r="AW446" s="67"/>
      <c r="AX446" s="67"/>
      <c r="AY446" s="67"/>
      <c r="AZ446" s="67"/>
      <c r="BA446" s="67"/>
      <c r="BB446" s="67"/>
      <c r="BC446" s="67"/>
      <c r="BD446" s="67"/>
      <c r="BE446" s="67"/>
      <c r="BF446" s="67"/>
      <c r="BG446" s="67"/>
      <c r="BH446" s="67"/>
      <c r="BI446" s="67"/>
      <c r="BJ446" s="67"/>
      <c r="BK446" s="67"/>
      <c r="BL446" s="67"/>
      <c r="BM446" s="67"/>
      <c r="BN446" s="67"/>
      <c r="BO446" s="67"/>
      <c r="BP446" s="67"/>
      <c r="BQ446" s="67"/>
      <c r="BR446" s="67"/>
      <c r="BS446" s="67"/>
      <c r="BT446" s="67"/>
      <c r="BU446" s="67"/>
    </row>
    <row r="447" spans="15:73" x14ac:dyDescent="0.2"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  <c r="AE447" s="67"/>
      <c r="AF447" s="67"/>
      <c r="AG447" s="67"/>
      <c r="AH447" s="67"/>
      <c r="AI447" s="67"/>
      <c r="AJ447" s="67"/>
      <c r="AK447" s="67"/>
      <c r="AL447" s="67"/>
      <c r="AM447" s="67"/>
      <c r="AN447" s="67"/>
      <c r="AO447" s="67"/>
      <c r="AP447" s="67"/>
      <c r="AQ447" s="67"/>
      <c r="AR447" s="67"/>
      <c r="AS447" s="67"/>
      <c r="AT447" s="67"/>
      <c r="AU447" s="67"/>
      <c r="AV447" s="67"/>
      <c r="AW447" s="67"/>
      <c r="AX447" s="67"/>
      <c r="AY447" s="67"/>
      <c r="AZ447" s="67"/>
      <c r="BA447" s="67"/>
      <c r="BB447" s="67"/>
      <c r="BC447" s="67"/>
      <c r="BD447" s="67"/>
      <c r="BE447" s="67"/>
      <c r="BF447" s="67"/>
      <c r="BG447" s="67"/>
      <c r="BH447" s="67"/>
      <c r="BI447" s="67"/>
      <c r="BJ447" s="67"/>
      <c r="BK447" s="67"/>
      <c r="BL447" s="67"/>
      <c r="BM447" s="67"/>
      <c r="BN447" s="67"/>
      <c r="BO447" s="67"/>
      <c r="BP447" s="67"/>
      <c r="BQ447" s="67"/>
      <c r="BR447" s="67"/>
      <c r="BS447" s="67"/>
      <c r="BT447" s="67"/>
      <c r="BU447" s="67"/>
    </row>
    <row r="448" spans="15:73" x14ac:dyDescent="0.2"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  <c r="AE448" s="67"/>
      <c r="AF448" s="67"/>
      <c r="AG448" s="67"/>
      <c r="AH448" s="67"/>
      <c r="AI448" s="67"/>
      <c r="AJ448" s="67"/>
      <c r="AK448" s="67"/>
      <c r="AL448" s="67"/>
      <c r="AM448" s="67"/>
      <c r="AN448" s="67"/>
      <c r="AO448" s="67"/>
      <c r="AP448" s="67"/>
      <c r="AQ448" s="67"/>
      <c r="AR448" s="67"/>
      <c r="AS448" s="67"/>
      <c r="AT448" s="67"/>
      <c r="AU448" s="67"/>
      <c r="AV448" s="67"/>
      <c r="AW448" s="67"/>
      <c r="AX448" s="67"/>
      <c r="AY448" s="67"/>
      <c r="AZ448" s="67"/>
      <c r="BA448" s="67"/>
      <c r="BB448" s="67"/>
      <c r="BC448" s="67"/>
      <c r="BD448" s="67"/>
      <c r="BE448" s="67"/>
      <c r="BF448" s="67"/>
      <c r="BG448" s="67"/>
      <c r="BH448" s="67"/>
      <c r="BI448" s="67"/>
      <c r="BJ448" s="67"/>
      <c r="BK448" s="67"/>
      <c r="BL448" s="67"/>
      <c r="BM448" s="67"/>
      <c r="BN448" s="67"/>
      <c r="BO448" s="67"/>
      <c r="BP448" s="67"/>
      <c r="BQ448" s="67"/>
      <c r="BR448" s="67"/>
      <c r="BS448" s="67"/>
      <c r="BT448" s="67"/>
      <c r="BU448" s="67"/>
    </row>
    <row r="449" spans="15:73" x14ac:dyDescent="0.2"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  <c r="AF449" s="67"/>
      <c r="AG449" s="67"/>
      <c r="AH449" s="67"/>
      <c r="AI449" s="67"/>
      <c r="AJ449" s="67"/>
      <c r="AK449" s="67"/>
      <c r="AL449" s="67"/>
      <c r="AM449" s="67"/>
      <c r="AN449" s="67"/>
      <c r="AO449" s="67"/>
      <c r="AP449" s="67"/>
      <c r="AQ449" s="67"/>
      <c r="AR449" s="67"/>
      <c r="AS449" s="67"/>
      <c r="AT449" s="67"/>
      <c r="AU449" s="67"/>
      <c r="AV449" s="67"/>
      <c r="AW449" s="67"/>
      <c r="AX449" s="67"/>
      <c r="AY449" s="67"/>
      <c r="AZ449" s="67"/>
      <c r="BA449" s="67"/>
      <c r="BB449" s="67"/>
      <c r="BC449" s="67"/>
      <c r="BD449" s="67"/>
      <c r="BE449" s="67"/>
      <c r="BF449" s="67"/>
      <c r="BG449" s="67"/>
      <c r="BH449" s="67"/>
      <c r="BI449" s="67"/>
      <c r="BJ449" s="67"/>
      <c r="BK449" s="67"/>
      <c r="BL449" s="67"/>
      <c r="BM449" s="67"/>
      <c r="BN449" s="67"/>
      <c r="BO449" s="67"/>
      <c r="BP449" s="67"/>
      <c r="BQ449" s="67"/>
      <c r="BR449" s="67"/>
      <c r="BS449" s="67"/>
      <c r="BT449" s="67"/>
      <c r="BU449" s="67"/>
    </row>
    <row r="450" spans="15:73" x14ac:dyDescent="0.2"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  <c r="AE450" s="67"/>
      <c r="AF450" s="67"/>
      <c r="AG450" s="67"/>
      <c r="AH450" s="67"/>
      <c r="AI450" s="67"/>
      <c r="AJ450" s="67"/>
      <c r="AK450" s="67"/>
      <c r="AL450" s="67"/>
      <c r="AM450" s="67"/>
      <c r="AN450" s="67"/>
      <c r="AO450" s="67"/>
      <c r="AP450" s="67"/>
      <c r="AQ450" s="67"/>
      <c r="AR450" s="67"/>
      <c r="AS450" s="67"/>
      <c r="AT450" s="67"/>
      <c r="AU450" s="67"/>
      <c r="AV450" s="67"/>
      <c r="AW450" s="67"/>
      <c r="AX450" s="67"/>
      <c r="AY450" s="67"/>
      <c r="AZ450" s="67"/>
      <c r="BA450" s="67"/>
      <c r="BB450" s="67"/>
      <c r="BC450" s="67"/>
      <c r="BD450" s="67"/>
      <c r="BE450" s="67"/>
      <c r="BF450" s="67"/>
      <c r="BG450" s="67"/>
      <c r="BH450" s="67"/>
      <c r="BI450" s="67"/>
      <c r="BJ450" s="67"/>
      <c r="BK450" s="67"/>
      <c r="BL450" s="67"/>
      <c r="BM450" s="67"/>
      <c r="BN450" s="67"/>
      <c r="BO450" s="67"/>
      <c r="BP450" s="67"/>
      <c r="BQ450" s="67"/>
      <c r="BR450" s="67"/>
      <c r="BS450" s="67"/>
      <c r="BT450" s="67"/>
      <c r="BU450" s="67"/>
    </row>
    <row r="451" spans="15:73" x14ac:dyDescent="0.2"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  <c r="AE451" s="67"/>
      <c r="AF451" s="67"/>
      <c r="AG451" s="67"/>
      <c r="AH451" s="67"/>
      <c r="AI451" s="67"/>
      <c r="AJ451" s="67"/>
      <c r="AK451" s="67"/>
      <c r="AL451" s="67"/>
      <c r="AM451" s="67"/>
      <c r="AN451" s="67"/>
      <c r="AO451" s="67"/>
      <c r="AP451" s="67"/>
      <c r="AQ451" s="67"/>
      <c r="AR451" s="67"/>
      <c r="AS451" s="67"/>
      <c r="AT451" s="67"/>
      <c r="AU451" s="67"/>
      <c r="AV451" s="67"/>
      <c r="AW451" s="67"/>
      <c r="AX451" s="67"/>
      <c r="AY451" s="67"/>
      <c r="AZ451" s="67"/>
      <c r="BA451" s="67"/>
      <c r="BB451" s="67"/>
      <c r="BC451" s="67"/>
      <c r="BD451" s="67"/>
      <c r="BE451" s="67"/>
      <c r="BF451" s="67"/>
      <c r="BG451" s="67"/>
      <c r="BH451" s="67"/>
      <c r="BI451" s="67"/>
      <c r="BJ451" s="67"/>
      <c r="BK451" s="67"/>
      <c r="BL451" s="67"/>
      <c r="BM451" s="67"/>
      <c r="BN451" s="67"/>
      <c r="BO451" s="67"/>
      <c r="BP451" s="67"/>
      <c r="BQ451" s="67"/>
      <c r="BR451" s="67"/>
      <c r="BS451" s="67"/>
      <c r="BT451" s="67"/>
      <c r="BU451" s="67"/>
    </row>
    <row r="452" spans="15:73" x14ac:dyDescent="0.2"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  <c r="AE452" s="67"/>
      <c r="AF452" s="67"/>
      <c r="AG452" s="67"/>
      <c r="AH452" s="67"/>
      <c r="AI452" s="67"/>
      <c r="AJ452" s="67"/>
      <c r="AK452" s="67"/>
      <c r="AL452" s="67"/>
      <c r="AM452" s="67"/>
      <c r="AN452" s="67"/>
      <c r="AO452" s="67"/>
      <c r="AP452" s="67"/>
      <c r="AQ452" s="67"/>
      <c r="AR452" s="67"/>
      <c r="AS452" s="67"/>
      <c r="AT452" s="67"/>
      <c r="AU452" s="67"/>
      <c r="AV452" s="67"/>
      <c r="AW452" s="67"/>
      <c r="AX452" s="67"/>
      <c r="AY452" s="67"/>
      <c r="AZ452" s="67"/>
      <c r="BA452" s="67"/>
      <c r="BB452" s="67"/>
      <c r="BC452" s="67"/>
      <c r="BD452" s="67"/>
      <c r="BE452" s="67"/>
      <c r="BF452" s="67"/>
      <c r="BG452" s="67"/>
      <c r="BH452" s="67"/>
      <c r="BI452" s="67"/>
      <c r="BJ452" s="67"/>
      <c r="BK452" s="67"/>
      <c r="BL452" s="67"/>
      <c r="BM452" s="67"/>
      <c r="BN452" s="67"/>
      <c r="BO452" s="67"/>
      <c r="BP452" s="67"/>
      <c r="BQ452" s="67"/>
      <c r="BR452" s="67"/>
      <c r="BS452" s="67"/>
      <c r="BT452" s="67"/>
      <c r="BU452" s="67"/>
    </row>
    <row r="453" spans="15:73" x14ac:dyDescent="0.2"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  <c r="AE453" s="67"/>
      <c r="AF453" s="67"/>
      <c r="AG453" s="67"/>
      <c r="AH453" s="67"/>
      <c r="AI453" s="67"/>
      <c r="AJ453" s="67"/>
      <c r="AK453" s="67"/>
      <c r="AL453" s="67"/>
      <c r="AM453" s="67"/>
      <c r="AN453" s="67"/>
      <c r="AO453" s="67"/>
      <c r="AP453" s="67"/>
      <c r="AQ453" s="67"/>
      <c r="AR453" s="67"/>
      <c r="AS453" s="67"/>
      <c r="AT453" s="67"/>
      <c r="AU453" s="67"/>
      <c r="AV453" s="67"/>
      <c r="AW453" s="67"/>
      <c r="AX453" s="67"/>
      <c r="AY453" s="67"/>
      <c r="AZ453" s="67"/>
      <c r="BA453" s="67"/>
      <c r="BB453" s="67"/>
      <c r="BC453" s="67"/>
      <c r="BD453" s="67"/>
      <c r="BE453" s="67"/>
      <c r="BF453" s="67"/>
      <c r="BG453" s="67"/>
      <c r="BH453" s="67"/>
      <c r="BI453" s="67"/>
      <c r="BJ453" s="67"/>
      <c r="BK453" s="67"/>
      <c r="BL453" s="67"/>
      <c r="BM453" s="67"/>
      <c r="BN453" s="67"/>
      <c r="BO453" s="67"/>
      <c r="BP453" s="67"/>
      <c r="BQ453" s="67"/>
      <c r="BR453" s="67"/>
      <c r="BS453" s="67"/>
      <c r="BT453" s="67"/>
      <c r="BU453" s="67"/>
    </row>
    <row r="454" spans="15:73" x14ac:dyDescent="0.2"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  <c r="AE454" s="67"/>
      <c r="AF454" s="67"/>
      <c r="AG454" s="67"/>
      <c r="AH454" s="67"/>
      <c r="AI454" s="67"/>
      <c r="AJ454" s="67"/>
      <c r="AK454" s="67"/>
      <c r="AL454" s="67"/>
      <c r="AM454" s="67"/>
      <c r="AN454" s="67"/>
      <c r="AO454" s="67"/>
      <c r="AP454" s="67"/>
      <c r="AQ454" s="67"/>
      <c r="AR454" s="67"/>
      <c r="AS454" s="67"/>
      <c r="AT454" s="67"/>
      <c r="AU454" s="67"/>
      <c r="AV454" s="67"/>
      <c r="AW454" s="67"/>
      <c r="AX454" s="67"/>
      <c r="AY454" s="67"/>
      <c r="AZ454" s="67"/>
      <c r="BA454" s="67"/>
      <c r="BB454" s="67"/>
      <c r="BC454" s="67"/>
      <c r="BD454" s="67"/>
      <c r="BE454" s="67"/>
      <c r="BF454" s="67"/>
      <c r="BG454" s="67"/>
      <c r="BH454" s="67"/>
      <c r="BI454" s="67"/>
      <c r="BJ454" s="67"/>
      <c r="BK454" s="67"/>
      <c r="BL454" s="67"/>
      <c r="BM454" s="67"/>
      <c r="BN454" s="67"/>
      <c r="BO454" s="67"/>
      <c r="BP454" s="67"/>
      <c r="BQ454" s="67"/>
      <c r="BR454" s="67"/>
      <c r="BS454" s="67"/>
      <c r="BT454" s="67"/>
      <c r="BU454" s="67"/>
    </row>
    <row r="455" spans="15:73" x14ac:dyDescent="0.2"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  <c r="AE455" s="67"/>
      <c r="AF455" s="67"/>
      <c r="AG455" s="67"/>
      <c r="AH455" s="67"/>
      <c r="AI455" s="67"/>
      <c r="AJ455" s="67"/>
      <c r="AK455" s="67"/>
      <c r="AL455" s="67"/>
      <c r="AM455" s="67"/>
      <c r="AN455" s="67"/>
      <c r="AO455" s="67"/>
      <c r="AP455" s="67"/>
      <c r="AQ455" s="67"/>
      <c r="AR455" s="67"/>
      <c r="AS455" s="67"/>
      <c r="AT455" s="67"/>
      <c r="AU455" s="67"/>
      <c r="AV455" s="67"/>
      <c r="AW455" s="67"/>
      <c r="AX455" s="67"/>
      <c r="AY455" s="67"/>
      <c r="AZ455" s="67"/>
      <c r="BA455" s="67"/>
      <c r="BB455" s="67"/>
      <c r="BC455" s="67"/>
      <c r="BD455" s="67"/>
      <c r="BE455" s="67"/>
      <c r="BF455" s="67"/>
      <c r="BG455" s="67"/>
      <c r="BH455" s="67"/>
      <c r="BI455" s="67"/>
      <c r="BJ455" s="67"/>
      <c r="BK455" s="67"/>
      <c r="BL455" s="67"/>
      <c r="BM455" s="67"/>
      <c r="BN455" s="67"/>
      <c r="BO455" s="67"/>
      <c r="BP455" s="67"/>
      <c r="BQ455" s="67"/>
      <c r="BR455" s="67"/>
      <c r="BS455" s="67"/>
      <c r="BT455" s="67"/>
      <c r="BU455" s="67"/>
    </row>
    <row r="456" spans="15:73" x14ac:dyDescent="0.2"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  <c r="AN456" s="67"/>
      <c r="AO456" s="67"/>
      <c r="AP456" s="67"/>
      <c r="AQ456" s="67"/>
      <c r="AR456" s="67"/>
      <c r="AS456" s="67"/>
      <c r="AT456" s="67"/>
      <c r="AU456" s="67"/>
      <c r="AV456" s="67"/>
      <c r="AW456" s="67"/>
      <c r="AX456" s="67"/>
      <c r="AY456" s="67"/>
      <c r="AZ456" s="67"/>
      <c r="BA456" s="67"/>
      <c r="BB456" s="67"/>
      <c r="BC456" s="67"/>
      <c r="BD456" s="67"/>
      <c r="BE456" s="67"/>
      <c r="BF456" s="67"/>
      <c r="BG456" s="67"/>
      <c r="BH456" s="67"/>
      <c r="BI456" s="67"/>
      <c r="BJ456" s="67"/>
      <c r="BK456" s="67"/>
      <c r="BL456" s="67"/>
      <c r="BM456" s="67"/>
      <c r="BN456" s="67"/>
      <c r="BO456" s="67"/>
      <c r="BP456" s="67"/>
      <c r="BQ456" s="67"/>
      <c r="BR456" s="67"/>
      <c r="BS456" s="67"/>
      <c r="BT456" s="67"/>
      <c r="BU456" s="67"/>
    </row>
    <row r="457" spans="15:73" x14ac:dyDescent="0.2"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  <c r="AD457" s="67"/>
      <c r="AE457" s="67"/>
      <c r="AF457" s="67"/>
      <c r="AG457" s="67"/>
      <c r="AH457" s="67"/>
      <c r="AI457" s="67"/>
      <c r="AJ457" s="67"/>
      <c r="AK457" s="67"/>
      <c r="AL457" s="67"/>
      <c r="AM457" s="67"/>
      <c r="AN457" s="67"/>
      <c r="AO457" s="67"/>
      <c r="AP457" s="67"/>
      <c r="AQ457" s="67"/>
      <c r="AR457" s="67"/>
      <c r="AS457" s="67"/>
      <c r="AT457" s="67"/>
      <c r="AU457" s="67"/>
      <c r="AV457" s="67"/>
      <c r="AW457" s="67"/>
      <c r="AX457" s="67"/>
      <c r="AY457" s="67"/>
      <c r="AZ457" s="67"/>
      <c r="BA457" s="67"/>
      <c r="BB457" s="67"/>
      <c r="BC457" s="67"/>
      <c r="BD457" s="67"/>
      <c r="BE457" s="67"/>
      <c r="BF457" s="67"/>
      <c r="BG457" s="67"/>
      <c r="BH457" s="67"/>
      <c r="BI457" s="67"/>
      <c r="BJ457" s="67"/>
      <c r="BK457" s="67"/>
      <c r="BL457" s="67"/>
      <c r="BM457" s="67"/>
      <c r="BN457" s="67"/>
      <c r="BO457" s="67"/>
      <c r="BP457" s="67"/>
      <c r="BQ457" s="67"/>
      <c r="BR457" s="67"/>
      <c r="BS457" s="67"/>
      <c r="BT457" s="67"/>
      <c r="BU457" s="67"/>
    </row>
    <row r="458" spans="15:73" x14ac:dyDescent="0.2"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  <c r="AV458" s="67"/>
      <c r="AW458" s="67"/>
      <c r="AX458" s="67"/>
      <c r="AY458" s="67"/>
      <c r="AZ458" s="67"/>
      <c r="BA458" s="67"/>
      <c r="BB458" s="67"/>
      <c r="BC458" s="67"/>
      <c r="BD458" s="67"/>
      <c r="BE458" s="67"/>
      <c r="BF458" s="67"/>
      <c r="BG458" s="67"/>
      <c r="BH458" s="67"/>
      <c r="BI458" s="67"/>
      <c r="BJ458" s="67"/>
      <c r="BK458" s="67"/>
      <c r="BL458" s="67"/>
      <c r="BM458" s="67"/>
      <c r="BN458" s="67"/>
      <c r="BO458" s="67"/>
      <c r="BP458" s="67"/>
      <c r="BQ458" s="67"/>
      <c r="BR458" s="67"/>
      <c r="BS458" s="67"/>
      <c r="BT458" s="67"/>
      <c r="BU458" s="67"/>
    </row>
    <row r="459" spans="15:73" x14ac:dyDescent="0.2"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  <c r="AV459" s="67"/>
      <c r="AW459" s="67"/>
      <c r="AX459" s="67"/>
      <c r="AY459" s="67"/>
      <c r="AZ459" s="67"/>
      <c r="BA459" s="67"/>
      <c r="BB459" s="67"/>
      <c r="BC459" s="67"/>
      <c r="BD459" s="67"/>
      <c r="BE459" s="67"/>
      <c r="BF459" s="67"/>
      <c r="BG459" s="67"/>
      <c r="BH459" s="67"/>
      <c r="BI459" s="67"/>
      <c r="BJ459" s="67"/>
      <c r="BK459" s="67"/>
      <c r="BL459" s="67"/>
      <c r="BM459" s="67"/>
      <c r="BN459" s="67"/>
      <c r="BO459" s="67"/>
      <c r="BP459" s="67"/>
      <c r="BQ459" s="67"/>
      <c r="BR459" s="67"/>
      <c r="BS459" s="67"/>
      <c r="BT459" s="67"/>
      <c r="BU459" s="67"/>
    </row>
    <row r="460" spans="15:73" x14ac:dyDescent="0.2"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  <c r="AV460" s="67"/>
      <c r="AW460" s="67"/>
      <c r="AX460" s="67"/>
      <c r="AY460" s="67"/>
      <c r="AZ460" s="67"/>
      <c r="BA460" s="67"/>
      <c r="BB460" s="67"/>
      <c r="BC460" s="67"/>
      <c r="BD460" s="67"/>
      <c r="BE460" s="67"/>
      <c r="BF460" s="67"/>
      <c r="BG460" s="67"/>
      <c r="BH460" s="67"/>
      <c r="BI460" s="67"/>
      <c r="BJ460" s="67"/>
      <c r="BK460" s="67"/>
      <c r="BL460" s="67"/>
      <c r="BM460" s="67"/>
      <c r="BN460" s="67"/>
      <c r="BO460" s="67"/>
      <c r="BP460" s="67"/>
      <c r="BQ460" s="67"/>
      <c r="BR460" s="67"/>
      <c r="BS460" s="67"/>
      <c r="BT460" s="67"/>
      <c r="BU460" s="67"/>
    </row>
    <row r="461" spans="15:73" x14ac:dyDescent="0.2"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  <c r="AV461" s="67"/>
      <c r="AW461" s="67"/>
      <c r="AX461" s="67"/>
      <c r="AY461" s="67"/>
      <c r="AZ461" s="67"/>
      <c r="BA461" s="67"/>
      <c r="BB461" s="67"/>
      <c r="BC461" s="67"/>
      <c r="BD461" s="67"/>
      <c r="BE461" s="67"/>
      <c r="BF461" s="67"/>
      <c r="BG461" s="67"/>
      <c r="BH461" s="67"/>
      <c r="BI461" s="67"/>
      <c r="BJ461" s="67"/>
      <c r="BK461" s="67"/>
      <c r="BL461" s="67"/>
      <c r="BM461" s="67"/>
      <c r="BN461" s="67"/>
      <c r="BO461" s="67"/>
      <c r="BP461" s="67"/>
      <c r="BQ461" s="67"/>
      <c r="BR461" s="67"/>
      <c r="BS461" s="67"/>
      <c r="BT461" s="67"/>
      <c r="BU461" s="67"/>
    </row>
    <row r="462" spans="15:73" x14ac:dyDescent="0.2"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  <c r="AV462" s="67"/>
      <c r="AW462" s="67"/>
      <c r="AX462" s="67"/>
      <c r="AY462" s="67"/>
      <c r="AZ462" s="67"/>
      <c r="BA462" s="67"/>
      <c r="BB462" s="67"/>
      <c r="BC462" s="67"/>
      <c r="BD462" s="67"/>
      <c r="BE462" s="67"/>
      <c r="BF462" s="67"/>
      <c r="BG462" s="67"/>
      <c r="BH462" s="67"/>
      <c r="BI462" s="67"/>
      <c r="BJ462" s="67"/>
      <c r="BK462" s="67"/>
      <c r="BL462" s="67"/>
      <c r="BM462" s="67"/>
      <c r="BN462" s="67"/>
      <c r="BO462" s="67"/>
      <c r="BP462" s="67"/>
      <c r="BQ462" s="67"/>
      <c r="BR462" s="67"/>
      <c r="BS462" s="67"/>
      <c r="BT462" s="67"/>
      <c r="BU462" s="67"/>
    </row>
    <row r="463" spans="15:73" x14ac:dyDescent="0.2"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  <c r="AV463" s="67"/>
      <c r="AW463" s="67"/>
      <c r="AX463" s="67"/>
      <c r="AY463" s="67"/>
      <c r="AZ463" s="67"/>
      <c r="BA463" s="67"/>
      <c r="BB463" s="67"/>
      <c r="BC463" s="67"/>
      <c r="BD463" s="67"/>
      <c r="BE463" s="67"/>
      <c r="BF463" s="67"/>
      <c r="BG463" s="67"/>
      <c r="BH463" s="67"/>
      <c r="BI463" s="67"/>
      <c r="BJ463" s="67"/>
      <c r="BK463" s="67"/>
      <c r="BL463" s="67"/>
      <c r="BM463" s="67"/>
      <c r="BN463" s="67"/>
      <c r="BO463" s="67"/>
      <c r="BP463" s="67"/>
      <c r="BQ463" s="67"/>
      <c r="BR463" s="67"/>
      <c r="BS463" s="67"/>
      <c r="BT463" s="67"/>
      <c r="BU463" s="67"/>
    </row>
    <row r="464" spans="15:73" x14ac:dyDescent="0.2"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  <c r="AV464" s="67"/>
      <c r="AW464" s="67"/>
      <c r="AX464" s="67"/>
      <c r="AY464" s="67"/>
      <c r="AZ464" s="67"/>
      <c r="BA464" s="67"/>
      <c r="BB464" s="67"/>
      <c r="BC464" s="67"/>
      <c r="BD464" s="67"/>
      <c r="BE464" s="67"/>
      <c r="BF464" s="67"/>
      <c r="BG464" s="67"/>
      <c r="BH464" s="67"/>
      <c r="BI464" s="67"/>
      <c r="BJ464" s="67"/>
      <c r="BK464" s="67"/>
      <c r="BL464" s="67"/>
      <c r="BM464" s="67"/>
      <c r="BN464" s="67"/>
      <c r="BO464" s="67"/>
      <c r="BP464" s="67"/>
      <c r="BQ464" s="67"/>
      <c r="BR464" s="67"/>
      <c r="BS464" s="67"/>
      <c r="BT464" s="67"/>
      <c r="BU464" s="67"/>
    </row>
    <row r="465" spans="15:73" x14ac:dyDescent="0.2"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  <c r="AV465" s="67"/>
      <c r="AW465" s="67"/>
      <c r="AX465" s="67"/>
      <c r="AY465" s="67"/>
      <c r="AZ465" s="67"/>
      <c r="BA465" s="67"/>
      <c r="BB465" s="67"/>
      <c r="BC465" s="67"/>
      <c r="BD465" s="67"/>
      <c r="BE465" s="67"/>
      <c r="BF465" s="67"/>
      <c r="BG465" s="67"/>
      <c r="BH465" s="67"/>
      <c r="BI465" s="67"/>
      <c r="BJ465" s="67"/>
      <c r="BK465" s="67"/>
      <c r="BL465" s="67"/>
      <c r="BM465" s="67"/>
      <c r="BN465" s="67"/>
      <c r="BO465" s="67"/>
      <c r="BP465" s="67"/>
      <c r="BQ465" s="67"/>
      <c r="BR465" s="67"/>
      <c r="BS465" s="67"/>
      <c r="BT465" s="67"/>
      <c r="BU465" s="67"/>
    </row>
    <row r="466" spans="15:73" x14ac:dyDescent="0.2"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  <c r="AV466" s="67"/>
      <c r="AW466" s="67"/>
      <c r="AX466" s="67"/>
      <c r="AY466" s="67"/>
      <c r="AZ466" s="67"/>
      <c r="BA466" s="67"/>
      <c r="BB466" s="67"/>
      <c r="BC466" s="67"/>
      <c r="BD466" s="67"/>
      <c r="BE466" s="67"/>
      <c r="BF466" s="67"/>
      <c r="BG466" s="67"/>
      <c r="BH466" s="67"/>
      <c r="BI466" s="67"/>
      <c r="BJ466" s="67"/>
      <c r="BK466" s="67"/>
      <c r="BL466" s="67"/>
      <c r="BM466" s="67"/>
      <c r="BN466" s="67"/>
      <c r="BO466" s="67"/>
      <c r="BP466" s="67"/>
      <c r="BQ466" s="67"/>
      <c r="BR466" s="67"/>
      <c r="BS466" s="67"/>
      <c r="BT466" s="67"/>
      <c r="BU466" s="67"/>
    </row>
    <row r="467" spans="15:73" x14ac:dyDescent="0.2"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  <c r="AV467" s="67"/>
      <c r="AW467" s="67"/>
      <c r="AX467" s="67"/>
      <c r="AY467" s="67"/>
      <c r="AZ467" s="67"/>
      <c r="BA467" s="67"/>
      <c r="BB467" s="67"/>
      <c r="BC467" s="67"/>
      <c r="BD467" s="67"/>
      <c r="BE467" s="67"/>
      <c r="BF467" s="67"/>
      <c r="BG467" s="67"/>
      <c r="BH467" s="67"/>
      <c r="BI467" s="67"/>
      <c r="BJ467" s="67"/>
      <c r="BK467" s="67"/>
      <c r="BL467" s="67"/>
      <c r="BM467" s="67"/>
      <c r="BN467" s="67"/>
      <c r="BO467" s="67"/>
      <c r="BP467" s="67"/>
      <c r="BQ467" s="67"/>
      <c r="BR467" s="67"/>
      <c r="BS467" s="67"/>
      <c r="BT467" s="67"/>
      <c r="BU467" s="67"/>
    </row>
    <row r="468" spans="15:73" x14ac:dyDescent="0.2"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  <c r="AV468" s="67"/>
      <c r="AW468" s="67"/>
      <c r="AX468" s="67"/>
      <c r="AY468" s="67"/>
      <c r="AZ468" s="67"/>
      <c r="BA468" s="67"/>
      <c r="BB468" s="67"/>
      <c r="BC468" s="67"/>
      <c r="BD468" s="67"/>
      <c r="BE468" s="67"/>
      <c r="BF468" s="67"/>
      <c r="BG468" s="67"/>
      <c r="BH468" s="67"/>
      <c r="BI468" s="67"/>
      <c r="BJ468" s="67"/>
      <c r="BK468" s="67"/>
      <c r="BL468" s="67"/>
      <c r="BM468" s="67"/>
      <c r="BN468" s="67"/>
      <c r="BO468" s="67"/>
      <c r="BP468" s="67"/>
      <c r="BQ468" s="67"/>
      <c r="BR468" s="67"/>
      <c r="BS468" s="67"/>
      <c r="BT468" s="67"/>
      <c r="BU468" s="67"/>
    </row>
    <row r="469" spans="15:73" x14ac:dyDescent="0.2"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  <c r="AV469" s="67"/>
      <c r="AW469" s="67"/>
      <c r="AX469" s="67"/>
      <c r="AY469" s="67"/>
      <c r="AZ469" s="67"/>
      <c r="BA469" s="67"/>
      <c r="BB469" s="67"/>
      <c r="BC469" s="67"/>
      <c r="BD469" s="67"/>
      <c r="BE469" s="67"/>
      <c r="BF469" s="67"/>
      <c r="BG469" s="67"/>
      <c r="BH469" s="67"/>
      <c r="BI469" s="67"/>
      <c r="BJ469" s="67"/>
      <c r="BK469" s="67"/>
      <c r="BL469" s="67"/>
      <c r="BM469" s="67"/>
      <c r="BN469" s="67"/>
      <c r="BO469" s="67"/>
      <c r="BP469" s="67"/>
      <c r="BQ469" s="67"/>
      <c r="BR469" s="67"/>
      <c r="BS469" s="67"/>
      <c r="BT469" s="67"/>
      <c r="BU469" s="67"/>
    </row>
    <row r="470" spans="15:73" x14ac:dyDescent="0.2"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  <c r="AV470" s="67"/>
      <c r="AW470" s="67"/>
      <c r="AX470" s="67"/>
      <c r="AY470" s="67"/>
      <c r="AZ470" s="67"/>
      <c r="BA470" s="67"/>
      <c r="BB470" s="67"/>
      <c r="BC470" s="67"/>
      <c r="BD470" s="67"/>
      <c r="BE470" s="67"/>
      <c r="BF470" s="67"/>
      <c r="BG470" s="67"/>
      <c r="BH470" s="67"/>
      <c r="BI470" s="67"/>
      <c r="BJ470" s="67"/>
      <c r="BK470" s="67"/>
      <c r="BL470" s="67"/>
      <c r="BM470" s="67"/>
      <c r="BN470" s="67"/>
      <c r="BO470" s="67"/>
      <c r="BP470" s="67"/>
      <c r="BQ470" s="67"/>
      <c r="BR470" s="67"/>
      <c r="BS470" s="67"/>
      <c r="BT470" s="67"/>
      <c r="BU470" s="67"/>
    </row>
    <row r="471" spans="15:73" x14ac:dyDescent="0.2"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  <c r="AV471" s="67"/>
      <c r="AW471" s="67"/>
      <c r="AX471" s="67"/>
      <c r="AY471" s="67"/>
      <c r="AZ471" s="67"/>
      <c r="BA471" s="67"/>
      <c r="BB471" s="67"/>
      <c r="BC471" s="67"/>
      <c r="BD471" s="67"/>
      <c r="BE471" s="67"/>
      <c r="BF471" s="67"/>
      <c r="BG471" s="67"/>
      <c r="BH471" s="67"/>
      <c r="BI471" s="67"/>
      <c r="BJ471" s="67"/>
      <c r="BK471" s="67"/>
      <c r="BL471" s="67"/>
      <c r="BM471" s="67"/>
      <c r="BN471" s="67"/>
      <c r="BO471" s="67"/>
      <c r="BP471" s="67"/>
      <c r="BQ471" s="67"/>
      <c r="BR471" s="67"/>
      <c r="BS471" s="67"/>
      <c r="BT471" s="67"/>
      <c r="BU471" s="67"/>
    </row>
    <row r="472" spans="15:73" x14ac:dyDescent="0.2"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  <c r="AV472" s="67"/>
      <c r="AW472" s="67"/>
      <c r="AX472" s="67"/>
      <c r="AY472" s="67"/>
      <c r="AZ472" s="67"/>
      <c r="BA472" s="67"/>
      <c r="BB472" s="67"/>
      <c r="BC472" s="67"/>
      <c r="BD472" s="67"/>
      <c r="BE472" s="67"/>
      <c r="BF472" s="67"/>
      <c r="BG472" s="67"/>
      <c r="BH472" s="67"/>
      <c r="BI472" s="67"/>
      <c r="BJ472" s="67"/>
      <c r="BK472" s="67"/>
      <c r="BL472" s="67"/>
      <c r="BM472" s="67"/>
      <c r="BN472" s="67"/>
      <c r="BO472" s="67"/>
      <c r="BP472" s="67"/>
      <c r="BQ472" s="67"/>
      <c r="BR472" s="67"/>
      <c r="BS472" s="67"/>
      <c r="BT472" s="67"/>
      <c r="BU472" s="67"/>
    </row>
    <row r="473" spans="15:73" x14ac:dyDescent="0.2"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  <c r="AV473" s="67"/>
      <c r="AW473" s="67"/>
      <c r="AX473" s="67"/>
      <c r="AY473" s="67"/>
      <c r="AZ473" s="67"/>
      <c r="BA473" s="67"/>
      <c r="BB473" s="67"/>
      <c r="BC473" s="67"/>
      <c r="BD473" s="67"/>
      <c r="BE473" s="67"/>
      <c r="BF473" s="67"/>
      <c r="BG473" s="67"/>
      <c r="BH473" s="67"/>
      <c r="BI473" s="67"/>
      <c r="BJ473" s="67"/>
      <c r="BK473" s="67"/>
      <c r="BL473" s="67"/>
      <c r="BM473" s="67"/>
      <c r="BN473" s="67"/>
      <c r="BO473" s="67"/>
      <c r="BP473" s="67"/>
      <c r="BQ473" s="67"/>
      <c r="BR473" s="67"/>
      <c r="BS473" s="67"/>
      <c r="BT473" s="67"/>
      <c r="BU473" s="67"/>
    </row>
    <row r="474" spans="15:73" x14ac:dyDescent="0.2"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  <c r="AV474" s="67"/>
      <c r="AW474" s="67"/>
      <c r="AX474" s="67"/>
      <c r="AY474" s="67"/>
      <c r="AZ474" s="67"/>
      <c r="BA474" s="67"/>
      <c r="BB474" s="67"/>
      <c r="BC474" s="67"/>
      <c r="BD474" s="67"/>
      <c r="BE474" s="67"/>
      <c r="BF474" s="67"/>
      <c r="BG474" s="67"/>
      <c r="BH474" s="67"/>
      <c r="BI474" s="67"/>
      <c r="BJ474" s="67"/>
      <c r="BK474" s="67"/>
      <c r="BL474" s="67"/>
      <c r="BM474" s="67"/>
      <c r="BN474" s="67"/>
      <c r="BO474" s="67"/>
      <c r="BP474" s="67"/>
      <c r="BQ474" s="67"/>
      <c r="BR474" s="67"/>
      <c r="BS474" s="67"/>
      <c r="BT474" s="67"/>
      <c r="BU474" s="67"/>
    </row>
    <row r="475" spans="15:73" x14ac:dyDescent="0.2"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  <c r="AV475" s="67"/>
      <c r="AW475" s="67"/>
      <c r="AX475" s="67"/>
      <c r="AY475" s="67"/>
      <c r="AZ475" s="67"/>
      <c r="BA475" s="67"/>
      <c r="BB475" s="67"/>
      <c r="BC475" s="67"/>
      <c r="BD475" s="67"/>
      <c r="BE475" s="67"/>
      <c r="BF475" s="67"/>
      <c r="BG475" s="67"/>
      <c r="BH475" s="67"/>
      <c r="BI475" s="67"/>
      <c r="BJ475" s="67"/>
      <c r="BK475" s="67"/>
      <c r="BL475" s="67"/>
      <c r="BM475" s="67"/>
      <c r="BN475" s="67"/>
      <c r="BO475" s="67"/>
      <c r="BP475" s="67"/>
      <c r="BQ475" s="67"/>
      <c r="BR475" s="67"/>
      <c r="BS475" s="67"/>
      <c r="BT475" s="67"/>
      <c r="BU475" s="67"/>
    </row>
    <row r="476" spans="15:73" x14ac:dyDescent="0.2"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  <c r="AD476" s="67"/>
      <c r="AE476" s="67"/>
      <c r="AF476" s="67"/>
      <c r="AG476" s="67"/>
      <c r="AH476" s="67"/>
      <c r="AI476" s="67"/>
      <c r="AJ476" s="67"/>
      <c r="AK476" s="67"/>
      <c r="AL476" s="67"/>
      <c r="AM476" s="67"/>
      <c r="AN476" s="67"/>
      <c r="AO476" s="67"/>
      <c r="AP476" s="67"/>
      <c r="AQ476" s="67"/>
      <c r="AR476" s="67"/>
      <c r="AS476" s="67"/>
      <c r="AT476" s="67"/>
      <c r="AU476" s="67"/>
      <c r="AV476" s="67"/>
      <c r="AW476" s="67"/>
      <c r="AX476" s="67"/>
      <c r="AY476" s="67"/>
      <c r="AZ476" s="67"/>
      <c r="BA476" s="67"/>
      <c r="BB476" s="67"/>
      <c r="BC476" s="67"/>
      <c r="BD476" s="67"/>
      <c r="BE476" s="67"/>
      <c r="BF476" s="67"/>
      <c r="BG476" s="67"/>
      <c r="BH476" s="67"/>
      <c r="BI476" s="67"/>
      <c r="BJ476" s="67"/>
      <c r="BK476" s="67"/>
      <c r="BL476" s="67"/>
      <c r="BM476" s="67"/>
      <c r="BN476" s="67"/>
      <c r="BO476" s="67"/>
      <c r="BP476" s="67"/>
      <c r="BQ476" s="67"/>
      <c r="BR476" s="67"/>
      <c r="BS476" s="67"/>
      <c r="BT476" s="67"/>
      <c r="BU476" s="67"/>
    </row>
    <row r="477" spans="15:73" x14ac:dyDescent="0.2"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  <c r="AN477" s="67"/>
      <c r="AO477" s="67"/>
      <c r="AP477" s="67"/>
      <c r="AQ477" s="67"/>
      <c r="AR477" s="67"/>
      <c r="AS477" s="67"/>
      <c r="AT477" s="67"/>
      <c r="AU477" s="67"/>
      <c r="AV477" s="67"/>
      <c r="AW477" s="67"/>
      <c r="AX477" s="67"/>
      <c r="AY477" s="67"/>
      <c r="AZ477" s="67"/>
      <c r="BA477" s="67"/>
      <c r="BB477" s="67"/>
      <c r="BC477" s="67"/>
      <c r="BD477" s="67"/>
      <c r="BE477" s="67"/>
      <c r="BF477" s="67"/>
      <c r="BG477" s="67"/>
      <c r="BH477" s="67"/>
      <c r="BI477" s="67"/>
      <c r="BJ477" s="67"/>
      <c r="BK477" s="67"/>
      <c r="BL477" s="67"/>
      <c r="BM477" s="67"/>
      <c r="BN477" s="67"/>
      <c r="BO477" s="67"/>
      <c r="BP477" s="67"/>
      <c r="BQ477" s="67"/>
      <c r="BR477" s="67"/>
      <c r="BS477" s="67"/>
      <c r="BT477" s="67"/>
      <c r="BU477" s="67"/>
    </row>
    <row r="478" spans="15:73" x14ac:dyDescent="0.2"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  <c r="AD478" s="67"/>
      <c r="AE478" s="67"/>
      <c r="AF478" s="67"/>
      <c r="AG478" s="67"/>
      <c r="AH478" s="67"/>
      <c r="AI478" s="67"/>
      <c r="AJ478" s="67"/>
      <c r="AK478" s="67"/>
      <c r="AL478" s="67"/>
      <c r="AM478" s="67"/>
      <c r="AN478" s="67"/>
      <c r="AO478" s="67"/>
      <c r="AP478" s="67"/>
      <c r="AQ478" s="67"/>
      <c r="AR478" s="67"/>
      <c r="AS478" s="67"/>
      <c r="AT478" s="67"/>
      <c r="AU478" s="67"/>
      <c r="AV478" s="67"/>
      <c r="AW478" s="67"/>
      <c r="AX478" s="67"/>
      <c r="AY478" s="67"/>
      <c r="AZ478" s="67"/>
      <c r="BA478" s="67"/>
      <c r="BB478" s="67"/>
      <c r="BC478" s="67"/>
      <c r="BD478" s="67"/>
      <c r="BE478" s="67"/>
      <c r="BF478" s="67"/>
      <c r="BG478" s="67"/>
      <c r="BH478" s="67"/>
      <c r="BI478" s="67"/>
      <c r="BJ478" s="67"/>
      <c r="BK478" s="67"/>
      <c r="BL478" s="67"/>
      <c r="BM478" s="67"/>
      <c r="BN478" s="67"/>
      <c r="BO478" s="67"/>
      <c r="BP478" s="67"/>
      <c r="BQ478" s="67"/>
      <c r="BR478" s="67"/>
      <c r="BS478" s="67"/>
      <c r="BT478" s="67"/>
      <c r="BU478" s="67"/>
    </row>
    <row r="479" spans="15:73" x14ac:dyDescent="0.2"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  <c r="AD479" s="67"/>
      <c r="AE479" s="67"/>
      <c r="AF479" s="67"/>
      <c r="AG479" s="67"/>
      <c r="AH479" s="67"/>
      <c r="AI479" s="67"/>
      <c r="AJ479" s="67"/>
      <c r="AK479" s="67"/>
      <c r="AL479" s="67"/>
      <c r="AM479" s="67"/>
      <c r="AN479" s="67"/>
      <c r="AO479" s="67"/>
      <c r="AP479" s="67"/>
      <c r="AQ479" s="67"/>
      <c r="AR479" s="67"/>
      <c r="AS479" s="67"/>
      <c r="AT479" s="67"/>
      <c r="AU479" s="67"/>
      <c r="AV479" s="67"/>
      <c r="AW479" s="67"/>
      <c r="AX479" s="67"/>
      <c r="AY479" s="67"/>
      <c r="AZ479" s="67"/>
      <c r="BA479" s="67"/>
      <c r="BB479" s="67"/>
      <c r="BC479" s="67"/>
      <c r="BD479" s="67"/>
      <c r="BE479" s="67"/>
      <c r="BF479" s="67"/>
      <c r="BG479" s="67"/>
      <c r="BH479" s="67"/>
      <c r="BI479" s="67"/>
      <c r="BJ479" s="67"/>
      <c r="BK479" s="67"/>
      <c r="BL479" s="67"/>
      <c r="BM479" s="67"/>
      <c r="BN479" s="67"/>
      <c r="BO479" s="67"/>
      <c r="BP479" s="67"/>
      <c r="BQ479" s="67"/>
      <c r="BR479" s="67"/>
      <c r="BS479" s="67"/>
      <c r="BT479" s="67"/>
      <c r="BU479" s="67"/>
    </row>
    <row r="480" spans="15:73" x14ac:dyDescent="0.2"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  <c r="AV480" s="67"/>
      <c r="AW480" s="67"/>
      <c r="AX480" s="67"/>
      <c r="AY480" s="67"/>
      <c r="AZ480" s="67"/>
      <c r="BA480" s="67"/>
      <c r="BB480" s="67"/>
      <c r="BC480" s="67"/>
      <c r="BD480" s="67"/>
      <c r="BE480" s="67"/>
      <c r="BF480" s="67"/>
      <c r="BG480" s="67"/>
      <c r="BH480" s="67"/>
      <c r="BI480" s="67"/>
      <c r="BJ480" s="67"/>
      <c r="BK480" s="67"/>
      <c r="BL480" s="67"/>
      <c r="BM480" s="67"/>
      <c r="BN480" s="67"/>
      <c r="BO480" s="67"/>
      <c r="BP480" s="67"/>
      <c r="BQ480" s="67"/>
      <c r="BR480" s="67"/>
      <c r="BS480" s="67"/>
      <c r="BT480" s="67"/>
      <c r="BU480" s="67"/>
    </row>
    <row r="481" spans="15:73" x14ac:dyDescent="0.2"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  <c r="AV481" s="67"/>
      <c r="AW481" s="67"/>
      <c r="AX481" s="67"/>
      <c r="AY481" s="67"/>
      <c r="AZ481" s="67"/>
      <c r="BA481" s="67"/>
      <c r="BB481" s="67"/>
      <c r="BC481" s="67"/>
      <c r="BD481" s="67"/>
      <c r="BE481" s="67"/>
      <c r="BF481" s="67"/>
      <c r="BG481" s="67"/>
      <c r="BH481" s="67"/>
      <c r="BI481" s="67"/>
      <c r="BJ481" s="67"/>
      <c r="BK481" s="67"/>
      <c r="BL481" s="67"/>
      <c r="BM481" s="67"/>
      <c r="BN481" s="67"/>
      <c r="BO481" s="67"/>
      <c r="BP481" s="67"/>
      <c r="BQ481" s="67"/>
      <c r="BR481" s="67"/>
      <c r="BS481" s="67"/>
      <c r="BT481" s="67"/>
      <c r="BU481" s="67"/>
    </row>
    <row r="482" spans="15:73" x14ac:dyDescent="0.2"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  <c r="AV482" s="67"/>
      <c r="AW482" s="67"/>
      <c r="AX482" s="67"/>
      <c r="AY482" s="67"/>
      <c r="AZ482" s="67"/>
      <c r="BA482" s="67"/>
      <c r="BB482" s="67"/>
      <c r="BC482" s="67"/>
      <c r="BD482" s="67"/>
      <c r="BE482" s="67"/>
      <c r="BF482" s="67"/>
      <c r="BG482" s="67"/>
      <c r="BH482" s="67"/>
      <c r="BI482" s="67"/>
      <c r="BJ482" s="67"/>
      <c r="BK482" s="67"/>
      <c r="BL482" s="67"/>
      <c r="BM482" s="67"/>
      <c r="BN482" s="67"/>
      <c r="BO482" s="67"/>
      <c r="BP482" s="67"/>
      <c r="BQ482" s="67"/>
      <c r="BR482" s="67"/>
      <c r="BS482" s="67"/>
      <c r="BT482" s="67"/>
      <c r="BU482" s="67"/>
    </row>
    <row r="483" spans="15:73" x14ac:dyDescent="0.2"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  <c r="AN483" s="67"/>
      <c r="AO483" s="67"/>
      <c r="AP483" s="67"/>
      <c r="AQ483" s="67"/>
      <c r="AR483" s="67"/>
      <c r="AS483" s="67"/>
      <c r="AT483" s="67"/>
      <c r="AU483" s="67"/>
      <c r="AV483" s="67"/>
      <c r="AW483" s="67"/>
      <c r="AX483" s="67"/>
      <c r="AY483" s="67"/>
      <c r="AZ483" s="67"/>
      <c r="BA483" s="67"/>
      <c r="BB483" s="67"/>
      <c r="BC483" s="67"/>
      <c r="BD483" s="67"/>
      <c r="BE483" s="67"/>
      <c r="BF483" s="67"/>
      <c r="BG483" s="67"/>
      <c r="BH483" s="67"/>
      <c r="BI483" s="67"/>
      <c r="BJ483" s="67"/>
      <c r="BK483" s="67"/>
      <c r="BL483" s="67"/>
      <c r="BM483" s="67"/>
      <c r="BN483" s="67"/>
      <c r="BO483" s="67"/>
      <c r="BP483" s="67"/>
      <c r="BQ483" s="67"/>
      <c r="BR483" s="67"/>
      <c r="BS483" s="67"/>
      <c r="BT483" s="67"/>
      <c r="BU483" s="67"/>
    </row>
    <row r="484" spans="15:73" x14ac:dyDescent="0.2"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  <c r="AD484" s="67"/>
      <c r="AE484" s="67"/>
      <c r="AF484" s="67"/>
      <c r="AG484" s="67"/>
      <c r="AH484" s="67"/>
      <c r="AI484" s="67"/>
      <c r="AJ484" s="67"/>
      <c r="AK484" s="67"/>
      <c r="AL484" s="67"/>
      <c r="AM484" s="67"/>
      <c r="AN484" s="67"/>
      <c r="AO484" s="67"/>
      <c r="AP484" s="67"/>
      <c r="AQ484" s="67"/>
      <c r="AR484" s="67"/>
      <c r="AS484" s="67"/>
      <c r="AT484" s="67"/>
      <c r="AU484" s="67"/>
      <c r="AV484" s="67"/>
      <c r="AW484" s="67"/>
      <c r="AX484" s="67"/>
      <c r="AY484" s="67"/>
      <c r="AZ484" s="67"/>
      <c r="BA484" s="67"/>
      <c r="BB484" s="67"/>
      <c r="BC484" s="67"/>
      <c r="BD484" s="67"/>
      <c r="BE484" s="67"/>
      <c r="BF484" s="67"/>
      <c r="BG484" s="67"/>
      <c r="BH484" s="67"/>
      <c r="BI484" s="67"/>
      <c r="BJ484" s="67"/>
      <c r="BK484" s="67"/>
      <c r="BL484" s="67"/>
      <c r="BM484" s="67"/>
      <c r="BN484" s="67"/>
      <c r="BO484" s="67"/>
      <c r="BP484" s="67"/>
      <c r="BQ484" s="67"/>
      <c r="BR484" s="67"/>
      <c r="BS484" s="67"/>
      <c r="BT484" s="67"/>
      <c r="BU484" s="67"/>
    </row>
    <row r="485" spans="15:73" x14ac:dyDescent="0.2"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  <c r="AV485" s="67"/>
      <c r="AW485" s="67"/>
      <c r="AX485" s="67"/>
      <c r="AY485" s="67"/>
      <c r="AZ485" s="67"/>
      <c r="BA485" s="67"/>
      <c r="BB485" s="67"/>
      <c r="BC485" s="67"/>
      <c r="BD485" s="67"/>
      <c r="BE485" s="67"/>
      <c r="BF485" s="67"/>
      <c r="BG485" s="67"/>
      <c r="BH485" s="67"/>
      <c r="BI485" s="67"/>
      <c r="BJ485" s="67"/>
      <c r="BK485" s="67"/>
      <c r="BL485" s="67"/>
      <c r="BM485" s="67"/>
      <c r="BN485" s="67"/>
      <c r="BO485" s="67"/>
      <c r="BP485" s="67"/>
      <c r="BQ485" s="67"/>
      <c r="BR485" s="67"/>
      <c r="BS485" s="67"/>
      <c r="BT485" s="67"/>
      <c r="BU485" s="67"/>
    </row>
    <row r="486" spans="15:73" x14ac:dyDescent="0.2"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  <c r="AE486" s="67"/>
      <c r="AF486" s="67"/>
      <c r="AG486" s="67"/>
      <c r="AH486" s="67"/>
      <c r="AI486" s="67"/>
      <c r="AJ486" s="67"/>
      <c r="AK486" s="67"/>
      <c r="AL486" s="67"/>
      <c r="AM486" s="67"/>
      <c r="AN486" s="67"/>
      <c r="AO486" s="67"/>
      <c r="AP486" s="67"/>
      <c r="AQ486" s="67"/>
      <c r="AR486" s="67"/>
      <c r="AS486" s="67"/>
      <c r="AT486" s="67"/>
      <c r="AU486" s="67"/>
      <c r="AV486" s="67"/>
      <c r="AW486" s="67"/>
      <c r="AX486" s="67"/>
      <c r="AY486" s="67"/>
      <c r="AZ486" s="67"/>
      <c r="BA486" s="67"/>
      <c r="BB486" s="67"/>
      <c r="BC486" s="67"/>
      <c r="BD486" s="67"/>
      <c r="BE486" s="67"/>
      <c r="BF486" s="67"/>
      <c r="BG486" s="67"/>
      <c r="BH486" s="67"/>
      <c r="BI486" s="67"/>
      <c r="BJ486" s="67"/>
      <c r="BK486" s="67"/>
      <c r="BL486" s="67"/>
      <c r="BM486" s="67"/>
      <c r="BN486" s="67"/>
      <c r="BO486" s="67"/>
      <c r="BP486" s="67"/>
      <c r="BQ486" s="67"/>
      <c r="BR486" s="67"/>
      <c r="BS486" s="67"/>
      <c r="BT486" s="67"/>
      <c r="BU486" s="67"/>
    </row>
    <row r="487" spans="15:73" x14ac:dyDescent="0.2"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  <c r="AN487" s="67"/>
      <c r="AO487" s="67"/>
      <c r="AP487" s="67"/>
      <c r="AQ487" s="67"/>
      <c r="AR487" s="67"/>
      <c r="AS487" s="67"/>
      <c r="AT487" s="67"/>
      <c r="AU487" s="67"/>
      <c r="AV487" s="67"/>
      <c r="AW487" s="67"/>
      <c r="AX487" s="67"/>
      <c r="AY487" s="67"/>
      <c r="AZ487" s="67"/>
      <c r="BA487" s="67"/>
      <c r="BB487" s="67"/>
      <c r="BC487" s="67"/>
      <c r="BD487" s="67"/>
      <c r="BE487" s="67"/>
      <c r="BF487" s="67"/>
      <c r="BG487" s="67"/>
      <c r="BH487" s="67"/>
      <c r="BI487" s="67"/>
      <c r="BJ487" s="67"/>
      <c r="BK487" s="67"/>
      <c r="BL487" s="67"/>
      <c r="BM487" s="67"/>
      <c r="BN487" s="67"/>
      <c r="BO487" s="67"/>
      <c r="BP487" s="67"/>
      <c r="BQ487" s="67"/>
      <c r="BR487" s="67"/>
      <c r="BS487" s="67"/>
      <c r="BT487" s="67"/>
      <c r="BU487" s="67"/>
    </row>
    <row r="488" spans="15:73" x14ac:dyDescent="0.2"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  <c r="AN488" s="67"/>
      <c r="AO488" s="67"/>
      <c r="AP488" s="67"/>
      <c r="AQ488" s="67"/>
      <c r="AR488" s="67"/>
      <c r="AS488" s="67"/>
      <c r="AT488" s="67"/>
      <c r="AU488" s="67"/>
      <c r="AV488" s="67"/>
      <c r="AW488" s="67"/>
      <c r="AX488" s="67"/>
      <c r="AY488" s="67"/>
      <c r="AZ488" s="67"/>
      <c r="BA488" s="67"/>
      <c r="BB488" s="67"/>
      <c r="BC488" s="67"/>
      <c r="BD488" s="67"/>
      <c r="BE488" s="67"/>
      <c r="BF488" s="67"/>
      <c r="BG488" s="67"/>
      <c r="BH488" s="67"/>
      <c r="BI488" s="67"/>
      <c r="BJ488" s="67"/>
      <c r="BK488" s="67"/>
      <c r="BL488" s="67"/>
      <c r="BM488" s="67"/>
      <c r="BN488" s="67"/>
      <c r="BO488" s="67"/>
      <c r="BP488" s="67"/>
      <c r="BQ488" s="67"/>
      <c r="BR488" s="67"/>
      <c r="BS488" s="67"/>
      <c r="BT488" s="67"/>
      <c r="BU488" s="67"/>
    </row>
    <row r="489" spans="15:73" x14ac:dyDescent="0.2"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  <c r="AN489" s="67"/>
      <c r="AO489" s="67"/>
      <c r="AP489" s="67"/>
      <c r="AQ489" s="67"/>
      <c r="AR489" s="67"/>
      <c r="AS489" s="67"/>
      <c r="AT489" s="67"/>
      <c r="AU489" s="67"/>
      <c r="AV489" s="67"/>
      <c r="AW489" s="67"/>
      <c r="AX489" s="67"/>
      <c r="AY489" s="67"/>
      <c r="AZ489" s="67"/>
      <c r="BA489" s="67"/>
      <c r="BB489" s="67"/>
      <c r="BC489" s="67"/>
      <c r="BD489" s="67"/>
      <c r="BE489" s="67"/>
      <c r="BF489" s="67"/>
      <c r="BG489" s="67"/>
      <c r="BH489" s="67"/>
      <c r="BI489" s="67"/>
      <c r="BJ489" s="67"/>
      <c r="BK489" s="67"/>
      <c r="BL489" s="67"/>
      <c r="BM489" s="67"/>
      <c r="BN489" s="67"/>
      <c r="BO489" s="67"/>
      <c r="BP489" s="67"/>
      <c r="BQ489" s="67"/>
      <c r="BR489" s="67"/>
      <c r="BS489" s="67"/>
      <c r="BT489" s="67"/>
      <c r="BU489" s="67"/>
    </row>
    <row r="490" spans="15:73" x14ac:dyDescent="0.2"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  <c r="AN490" s="67"/>
      <c r="AO490" s="67"/>
      <c r="AP490" s="67"/>
      <c r="AQ490" s="67"/>
      <c r="AR490" s="67"/>
      <c r="AS490" s="67"/>
      <c r="AT490" s="67"/>
      <c r="AU490" s="67"/>
      <c r="AV490" s="67"/>
      <c r="AW490" s="67"/>
      <c r="AX490" s="67"/>
      <c r="AY490" s="67"/>
      <c r="AZ490" s="67"/>
      <c r="BA490" s="67"/>
      <c r="BB490" s="67"/>
      <c r="BC490" s="67"/>
      <c r="BD490" s="67"/>
      <c r="BE490" s="67"/>
      <c r="BF490" s="67"/>
      <c r="BG490" s="67"/>
      <c r="BH490" s="67"/>
      <c r="BI490" s="67"/>
      <c r="BJ490" s="67"/>
      <c r="BK490" s="67"/>
      <c r="BL490" s="67"/>
      <c r="BM490" s="67"/>
      <c r="BN490" s="67"/>
      <c r="BO490" s="67"/>
      <c r="BP490" s="67"/>
      <c r="BQ490" s="67"/>
      <c r="BR490" s="67"/>
      <c r="BS490" s="67"/>
      <c r="BT490" s="67"/>
      <c r="BU490" s="67"/>
    </row>
    <row r="491" spans="15:73" x14ac:dyDescent="0.2"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  <c r="AN491" s="67"/>
      <c r="AO491" s="67"/>
      <c r="AP491" s="67"/>
      <c r="AQ491" s="67"/>
      <c r="AR491" s="67"/>
      <c r="AS491" s="67"/>
      <c r="AT491" s="67"/>
      <c r="AU491" s="67"/>
      <c r="AV491" s="67"/>
      <c r="AW491" s="67"/>
      <c r="AX491" s="67"/>
      <c r="AY491" s="67"/>
      <c r="AZ491" s="67"/>
      <c r="BA491" s="67"/>
      <c r="BB491" s="67"/>
      <c r="BC491" s="67"/>
      <c r="BD491" s="67"/>
      <c r="BE491" s="67"/>
      <c r="BF491" s="67"/>
      <c r="BG491" s="67"/>
      <c r="BH491" s="67"/>
      <c r="BI491" s="67"/>
      <c r="BJ491" s="67"/>
      <c r="BK491" s="67"/>
      <c r="BL491" s="67"/>
      <c r="BM491" s="67"/>
      <c r="BN491" s="67"/>
      <c r="BO491" s="67"/>
      <c r="BP491" s="67"/>
      <c r="BQ491" s="67"/>
      <c r="BR491" s="67"/>
      <c r="BS491" s="67"/>
      <c r="BT491" s="67"/>
      <c r="BU491" s="67"/>
    </row>
    <row r="492" spans="15:73" x14ac:dyDescent="0.2"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  <c r="AN492" s="67"/>
      <c r="AO492" s="67"/>
      <c r="AP492" s="67"/>
      <c r="AQ492" s="67"/>
      <c r="AR492" s="67"/>
      <c r="AS492" s="67"/>
      <c r="AT492" s="67"/>
      <c r="AU492" s="67"/>
      <c r="AV492" s="67"/>
      <c r="AW492" s="67"/>
      <c r="AX492" s="67"/>
      <c r="AY492" s="67"/>
      <c r="AZ492" s="67"/>
      <c r="BA492" s="67"/>
      <c r="BB492" s="67"/>
      <c r="BC492" s="67"/>
      <c r="BD492" s="67"/>
      <c r="BE492" s="67"/>
      <c r="BF492" s="67"/>
      <c r="BG492" s="67"/>
      <c r="BH492" s="67"/>
      <c r="BI492" s="67"/>
      <c r="BJ492" s="67"/>
      <c r="BK492" s="67"/>
      <c r="BL492" s="67"/>
      <c r="BM492" s="67"/>
      <c r="BN492" s="67"/>
      <c r="BO492" s="67"/>
      <c r="BP492" s="67"/>
      <c r="BQ492" s="67"/>
      <c r="BR492" s="67"/>
      <c r="BS492" s="67"/>
      <c r="BT492" s="67"/>
      <c r="BU492" s="67"/>
    </row>
    <row r="493" spans="15:73" x14ac:dyDescent="0.2"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  <c r="AN493" s="67"/>
      <c r="AO493" s="67"/>
      <c r="AP493" s="67"/>
      <c r="AQ493" s="67"/>
      <c r="AR493" s="67"/>
      <c r="AS493" s="67"/>
      <c r="AT493" s="67"/>
      <c r="AU493" s="67"/>
      <c r="AV493" s="67"/>
      <c r="AW493" s="67"/>
      <c r="AX493" s="67"/>
      <c r="AY493" s="67"/>
      <c r="AZ493" s="67"/>
      <c r="BA493" s="67"/>
      <c r="BB493" s="67"/>
      <c r="BC493" s="67"/>
      <c r="BD493" s="67"/>
      <c r="BE493" s="67"/>
      <c r="BF493" s="67"/>
      <c r="BG493" s="67"/>
      <c r="BH493" s="67"/>
      <c r="BI493" s="67"/>
      <c r="BJ493" s="67"/>
      <c r="BK493" s="67"/>
      <c r="BL493" s="67"/>
      <c r="BM493" s="67"/>
      <c r="BN493" s="67"/>
      <c r="BO493" s="67"/>
      <c r="BP493" s="67"/>
      <c r="BQ493" s="67"/>
      <c r="BR493" s="67"/>
      <c r="BS493" s="67"/>
      <c r="BT493" s="67"/>
      <c r="BU493" s="67"/>
    </row>
    <row r="494" spans="15:73" x14ac:dyDescent="0.2"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  <c r="AN494" s="67"/>
      <c r="AO494" s="67"/>
      <c r="AP494" s="67"/>
      <c r="AQ494" s="67"/>
      <c r="AR494" s="67"/>
      <c r="AS494" s="67"/>
      <c r="AT494" s="67"/>
      <c r="AU494" s="67"/>
      <c r="AV494" s="67"/>
      <c r="AW494" s="67"/>
      <c r="AX494" s="67"/>
      <c r="AY494" s="67"/>
      <c r="AZ494" s="67"/>
      <c r="BA494" s="67"/>
      <c r="BB494" s="67"/>
      <c r="BC494" s="67"/>
      <c r="BD494" s="67"/>
      <c r="BE494" s="67"/>
      <c r="BF494" s="67"/>
      <c r="BG494" s="67"/>
      <c r="BH494" s="67"/>
      <c r="BI494" s="67"/>
      <c r="BJ494" s="67"/>
      <c r="BK494" s="67"/>
      <c r="BL494" s="67"/>
      <c r="BM494" s="67"/>
      <c r="BN494" s="67"/>
      <c r="BO494" s="67"/>
      <c r="BP494" s="67"/>
      <c r="BQ494" s="67"/>
      <c r="BR494" s="67"/>
      <c r="BS494" s="67"/>
      <c r="BT494" s="67"/>
      <c r="BU494" s="67"/>
    </row>
    <row r="495" spans="15:73" x14ac:dyDescent="0.2"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  <c r="AN495" s="67"/>
      <c r="AO495" s="67"/>
      <c r="AP495" s="67"/>
      <c r="AQ495" s="67"/>
      <c r="AR495" s="67"/>
      <c r="AS495" s="67"/>
      <c r="AT495" s="67"/>
      <c r="AU495" s="67"/>
      <c r="AV495" s="67"/>
      <c r="AW495" s="67"/>
      <c r="AX495" s="67"/>
      <c r="AY495" s="67"/>
      <c r="AZ495" s="67"/>
      <c r="BA495" s="67"/>
      <c r="BB495" s="67"/>
      <c r="BC495" s="67"/>
      <c r="BD495" s="67"/>
      <c r="BE495" s="67"/>
      <c r="BF495" s="67"/>
      <c r="BG495" s="67"/>
      <c r="BH495" s="67"/>
      <c r="BI495" s="67"/>
      <c r="BJ495" s="67"/>
      <c r="BK495" s="67"/>
      <c r="BL495" s="67"/>
      <c r="BM495" s="67"/>
      <c r="BN495" s="67"/>
      <c r="BO495" s="67"/>
      <c r="BP495" s="67"/>
      <c r="BQ495" s="67"/>
      <c r="BR495" s="67"/>
      <c r="BS495" s="67"/>
      <c r="BT495" s="67"/>
      <c r="BU495" s="67"/>
    </row>
    <row r="496" spans="15:73" x14ac:dyDescent="0.2"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  <c r="AN496" s="67"/>
      <c r="AO496" s="67"/>
      <c r="AP496" s="67"/>
      <c r="AQ496" s="67"/>
      <c r="AR496" s="67"/>
      <c r="AS496" s="67"/>
      <c r="AT496" s="67"/>
      <c r="AU496" s="67"/>
      <c r="AV496" s="67"/>
      <c r="AW496" s="67"/>
      <c r="AX496" s="67"/>
      <c r="AY496" s="67"/>
      <c r="AZ496" s="67"/>
      <c r="BA496" s="67"/>
      <c r="BB496" s="67"/>
      <c r="BC496" s="67"/>
      <c r="BD496" s="67"/>
      <c r="BE496" s="67"/>
      <c r="BF496" s="67"/>
      <c r="BG496" s="67"/>
      <c r="BH496" s="67"/>
      <c r="BI496" s="67"/>
      <c r="BJ496" s="67"/>
      <c r="BK496" s="67"/>
      <c r="BL496" s="67"/>
      <c r="BM496" s="67"/>
      <c r="BN496" s="67"/>
      <c r="BO496" s="67"/>
      <c r="BP496" s="67"/>
      <c r="BQ496" s="67"/>
      <c r="BR496" s="67"/>
      <c r="BS496" s="67"/>
      <c r="BT496" s="67"/>
      <c r="BU496" s="67"/>
    </row>
    <row r="497" spans="15:73" x14ac:dyDescent="0.2"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  <c r="AN497" s="67"/>
      <c r="AO497" s="67"/>
      <c r="AP497" s="67"/>
      <c r="AQ497" s="67"/>
      <c r="AR497" s="67"/>
      <c r="AS497" s="67"/>
      <c r="AT497" s="67"/>
      <c r="AU497" s="67"/>
      <c r="AV497" s="67"/>
      <c r="AW497" s="67"/>
      <c r="AX497" s="67"/>
      <c r="AY497" s="67"/>
      <c r="AZ497" s="67"/>
      <c r="BA497" s="67"/>
      <c r="BB497" s="67"/>
      <c r="BC497" s="67"/>
      <c r="BD497" s="67"/>
      <c r="BE497" s="67"/>
      <c r="BF497" s="67"/>
      <c r="BG497" s="67"/>
      <c r="BH497" s="67"/>
      <c r="BI497" s="67"/>
      <c r="BJ497" s="67"/>
      <c r="BK497" s="67"/>
      <c r="BL497" s="67"/>
      <c r="BM497" s="67"/>
      <c r="BN497" s="67"/>
      <c r="BO497" s="67"/>
      <c r="BP497" s="67"/>
      <c r="BQ497" s="67"/>
      <c r="BR497" s="67"/>
      <c r="BS497" s="67"/>
      <c r="BT497" s="67"/>
      <c r="BU497" s="67"/>
    </row>
    <row r="498" spans="15:73" x14ac:dyDescent="0.2"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  <c r="AN498" s="67"/>
      <c r="AO498" s="67"/>
      <c r="AP498" s="67"/>
      <c r="AQ498" s="67"/>
      <c r="AR498" s="67"/>
      <c r="AS498" s="67"/>
      <c r="AT498" s="67"/>
      <c r="AU498" s="67"/>
      <c r="AV498" s="67"/>
      <c r="AW498" s="67"/>
      <c r="AX498" s="67"/>
      <c r="AY498" s="67"/>
      <c r="AZ498" s="67"/>
      <c r="BA498" s="67"/>
      <c r="BB498" s="67"/>
      <c r="BC498" s="67"/>
      <c r="BD498" s="67"/>
      <c r="BE498" s="67"/>
      <c r="BF498" s="67"/>
      <c r="BG498" s="67"/>
      <c r="BH498" s="67"/>
      <c r="BI498" s="67"/>
      <c r="BJ498" s="67"/>
      <c r="BK498" s="67"/>
      <c r="BL498" s="67"/>
      <c r="BM498" s="67"/>
      <c r="BN498" s="67"/>
      <c r="BO498" s="67"/>
      <c r="BP498" s="67"/>
      <c r="BQ498" s="67"/>
      <c r="BR498" s="67"/>
      <c r="BS498" s="67"/>
      <c r="BT498" s="67"/>
      <c r="BU498" s="67"/>
    </row>
    <row r="499" spans="15:73" x14ac:dyDescent="0.2"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  <c r="AN499" s="67"/>
      <c r="AO499" s="67"/>
      <c r="AP499" s="67"/>
      <c r="AQ499" s="67"/>
      <c r="AR499" s="67"/>
      <c r="AS499" s="67"/>
      <c r="AT499" s="67"/>
      <c r="AU499" s="67"/>
      <c r="AV499" s="67"/>
      <c r="AW499" s="67"/>
      <c r="AX499" s="67"/>
      <c r="AY499" s="67"/>
      <c r="AZ499" s="67"/>
      <c r="BA499" s="67"/>
      <c r="BB499" s="67"/>
      <c r="BC499" s="67"/>
      <c r="BD499" s="67"/>
      <c r="BE499" s="67"/>
      <c r="BF499" s="67"/>
      <c r="BG499" s="67"/>
      <c r="BH499" s="67"/>
      <c r="BI499" s="67"/>
      <c r="BJ499" s="67"/>
      <c r="BK499" s="67"/>
      <c r="BL499" s="67"/>
      <c r="BM499" s="67"/>
      <c r="BN499" s="67"/>
      <c r="BO499" s="67"/>
      <c r="BP499" s="67"/>
      <c r="BQ499" s="67"/>
      <c r="BR499" s="67"/>
      <c r="BS499" s="67"/>
      <c r="BT499" s="67"/>
      <c r="BU499" s="67"/>
    </row>
    <row r="500" spans="15:73" x14ac:dyDescent="0.2"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  <c r="AN500" s="67"/>
      <c r="AO500" s="67"/>
      <c r="AP500" s="67"/>
      <c r="AQ500" s="67"/>
      <c r="AR500" s="67"/>
      <c r="AS500" s="67"/>
      <c r="AT500" s="67"/>
      <c r="AU500" s="67"/>
      <c r="AV500" s="67"/>
      <c r="AW500" s="67"/>
      <c r="AX500" s="67"/>
      <c r="AY500" s="67"/>
      <c r="AZ500" s="67"/>
      <c r="BA500" s="67"/>
      <c r="BB500" s="67"/>
      <c r="BC500" s="67"/>
      <c r="BD500" s="67"/>
      <c r="BE500" s="67"/>
      <c r="BF500" s="67"/>
      <c r="BG500" s="67"/>
      <c r="BH500" s="67"/>
      <c r="BI500" s="67"/>
      <c r="BJ500" s="67"/>
      <c r="BK500" s="67"/>
      <c r="BL500" s="67"/>
      <c r="BM500" s="67"/>
      <c r="BN500" s="67"/>
      <c r="BO500" s="67"/>
      <c r="BP500" s="67"/>
      <c r="BQ500" s="67"/>
      <c r="BR500" s="67"/>
      <c r="BS500" s="67"/>
      <c r="BT500" s="67"/>
      <c r="BU500" s="67"/>
    </row>
    <row r="501" spans="15:73" x14ac:dyDescent="0.2"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  <c r="AN501" s="67"/>
      <c r="AO501" s="67"/>
      <c r="AP501" s="67"/>
      <c r="AQ501" s="67"/>
      <c r="AR501" s="67"/>
      <c r="AS501" s="67"/>
      <c r="AT501" s="67"/>
      <c r="AU501" s="67"/>
      <c r="AV501" s="67"/>
      <c r="AW501" s="67"/>
      <c r="AX501" s="67"/>
      <c r="AY501" s="67"/>
      <c r="AZ501" s="67"/>
      <c r="BA501" s="67"/>
      <c r="BB501" s="67"/>
      <c r="BC501" s="67"/>
      <c r="BD501" s="67"/>
      <c r="BE501" s="67"/>
      <c r="BF501" s="67"/>
      <c r="BG501" s="67"/>
      <c r="BH501" s="67"/>
      <c r="BI501" s="67"/>
      <c r="BJ501" s="67"/>
      <c r="BK501" s="67"/>
      <c r="BL501" s="67"/>
      <c r="BM501" s="67"/>
      <c r="BN501" s="67"/>
      <c r="BO501" s="67"/>
      <c r="BP501" s="67"/>
      <c r="BQ501" s="67"/>
      <c r="BR501" s="67"/>
      <c r="BS501" s="67"/>
      <c r="BT501" s="67"/>
      <c r="BU501" s="67"/>
    </row>
    <row r="502" spans="15:73" x14ac:dyDescent="0.2"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  <c r="AN502" s="67"/>
      <c r="AO502" s="67"/>
      <c r="AP502" s="67"/>
      <c r="AQ502" s="67"/>
      <c r="AR502" s="67"/>
      <c r="AS502" s="67"/>
      <c r="AT502" s="67"/>
      <c r="AU502" s="67"/>
      <c r="AV502" s="67"/>
      <c r="AW502" s="67"/>
      <c r="AX502" s="67"/>
      <c r="AY502" s="67"/>
      <c r="AZ502" s="67"/>
      <c r="BA502" s="67"/>
      <c r="BB502" s="67"/>
      <c r="BC502" s="67"/>
      <c r="BD502" s="67"/>
      <c r="BE502" s="67"/>
      <c r="BF502" s="67"/>
      <c r="BG502" s="67"/>
      <c r="BH502" s="67"/>
      <c r="BI502" s="67"/>
      <c r="BJ502" s="67"/>
      <c r="BK502" s="67"/>
      <c r="BL502" s="67"/>
      <c r="BM502" s="67"/>
      <c r="BN502" s="67"/>
      <c r="BO502" s="67"/>
      <c r="BP502" s="67"/>
      <c r="BQ502" s="67"/>
      <c r="BR502" s="67"/>
      <c r="BS502" s="67"/>
      <c r="BT502" s="67"/>
      <c r="BU502" s="67"/>
    </row>
    <row r="503" spans="15:73" x14ac:dyDescent="0.2"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  <c r="AN503" s="67"/>
      <c r="AO503" s="67"/>
      <c r="AP503" s="67"/>
      <c r="AQ503" s="67"/>
      <c r="AR503" s="67"/>
      <c r="AS503" s="67"/>
      <c r="AT503" s="67"/>
      <c r="AU503" s="67"/>
      <c r="AV503" s="67"/>
      <c r="AW503" s="67"/>
      <c r="AX503" s="67"/>
      <c r="AY503" s="67"/>
      <c r="AZ503" s="67"/>
      <c r="BA503" s="67"/>
      <c r="BB503" s="67"/>
      <c r="BC503" s="67"/>
      <c r="BD503" s="67"/>
      <c r="BE503" s="67"/>
      <c r="BF503" s="67"/>
      <c r="BG503" s="67"/>
      <c r="BH503" s="67"/>
      <c r="BI503" s="67"/>
      <c r="BJ503" s="67"/>
      <c r="BK503" s="67"/>
      <c r="BL503" s="67"/>
      <c r="BM503" s="67"/>
      <c r="BN503" s="67"/>
      <c r="BO503" s="67"/>
      <c r="BP503" s="67"/>
      <c r="BQ503" s="67"/>
      <c r="BR503" s="67"/>
      <c r="BS503" s="67"/>
      <c r="BT503" s="67"/>
      <c r="BU503" s="67"/>
    </row>
    <row r="504" spans="15:73" x14ac:dyDescent="0.2"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  <c r="AN504" s="67"/>
      <c r="AO504" s="67"/>
      <c r="AP504" s="67"/>
      <c r="AQ504" s="67"/>
      <c r="AR504" s="67"/>
      <c r="AS504" s="67"/>
      <c r="AT504" s="67"/>
      <c r="AU504" s="67"/>
      <c r="AV504" s="67"/>
      <c r="AW504" s="67"/>
      <c r="AX504" s="67"/>
      <c r="AY504" s="67"/>
      <c r="AZ504" s="67"/>
      <c r="BA504" s="67"/>
      <c r="BB504" s="67"/>
      <c r="BC504" s="67"/>
      <c r="BD504" s="67"/>
      <c r="BE504" s="67"/>
      <c r="BF504" s="67"/>
      <c r="BG504" s="67"/>
      <c r="BH504" s="67"/>
      <c r="BI504" s="67"/>
      <c r="BJ504" s="67"/>
      <c r="BK504" s="67"/>
      <c r="BL504" s="67"/>
      <c r="BM504" s="67"/>
      <c r="BN504" s="67"/>
      <c r="BO504" s="67"/>
      <c r="BP504" s="67"/>
      <c r="BQ504" s="67"/>
      <c r="BR504" s="67"/>
      <c r="BS504" s="67"/>
      <c r="BT504" s="67"/>
      <c r="BU504" s="67"/>
    </row>
    <row r="505" spans="15:73" x14ac:dyDescent="0.2"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  <c r="AD505" s="67"/>
      <c r="AE505" s="67"/>
      <c r="AF505" s="67"/>
      <c r="AG505" s="67"/>
      <c r="AH505" s="67"/>
      <c r="AI505" s="67"/>
      <c r="AJ505" s="67"/>
      <c r="AK505" s="67"/>
      <c r="AL505" s="67"/>
      <c r="AM505" s="67"/>
      <c r="AN505" s="67"/>
      <c r="AO505" s="67"/>
      <c r="AP505" s="67"/>
      <c r="AQ505" s="67"/>
      <c r="AR505" s="67"/>
      <c r="AS505" s="67"/>
      <c r="AT505" s="67"/>
      <c r="AU505" s="67"/>
      <c r="AV505" s="67"/>
      <c r="AW505" s="67"/>
      <c r="AX505" s="67"/>
      <c r="AY505" s="67"/>
      <c r="AZ505" s="67"/>
      <c r="BA505" s="67"/>
      <c r="BB505" s="67"/>
      <c r="BC505" s="67"/>
      <c r="BD505" s="67"/>
      <c r="BE505" s="67"/>
      <c r="BF505" s="67"/>
      <c r="BG505" s="67"/>
      <c r="BH505" s="67"/>
      <c r="BI505" s="67"/>
      <c r="BJ505" s="67"/>
      <c r="BK505" s="67"/>
      <c r="BL505" s="67"/>
      <c r="BM505" s="67"/>
      <c r="BN505" s="67"/>
      <c r="BO505" s="67"/>
      <c r="BP505" s="67"/>
      <c r="BQ505" s="67"/>
      <c r="BR505" s="67"/>
      <c r="BS505" s="67"/>
      <c r="BT505" s="67"/>
      <c r="BU505" s="67"/>
    </row>
    <row r="506" spans="15:73" x14ac:dyDescent="0.2"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  <c r="AD506" s="67"/>
      <c r="AE506" s="67"/>
      <c r="AF506" s="67"/>
      <c r="AG506" s="67"/>
      <c r="AH506" s="67"/>
      <c r="AI506" s="67"/>
      <c r="AJ506" s="67"/>
      <c r="AK506" s="67"/>
      <c r="AL506" s="67"/>
      <c r="AM506" s="67"/>
      <c r="AN506" s="67"/>
      <c r="AO506" s="67"/>
      <c r="AP506" s="67"/>
      <c r="AQ506" s="67"/>
      <c r="AR506" s="67"/>
      <c r="AS506" s="67"/>
      <c r="AT506" s="67"/>
      <c r="AU506" s="67"/>
      <c r="AV506" s="67"/>
      <c r="AW506" s="67"/>
      <c r="AX506" s="67"/>
      <c r="AY506" s="67"/>
      <c r="AZ506" s="67"/>
      <c r="BA506" s="67"/>
      <c r="BB506" s="67"/>
      <c r="BC506" s="67"/>
      <c r="BD506" s="67"/>
      <c r="BE506" s="67"/>
      <c r="BF506" s="67"/>
      <c r="BG506" s="67"/>
      <c r="BH506" s="67"/>
      <c r="BI506" s="67"/>
      <c r="BJ506" s="67"/>
      <c r="BK506" s="67"/>
      <c r="BL506" s="67"/>
      <c r="BM506" s="67"/>
      <c r="BN506" s="67"/>
      <c r="BO506" s="67"/>
      <c r="BP506" s="67"/>
      <c r="BQ506" s="67"/>
      <c r="BR506" s="67"/>
      <c r="BS506" s="67"/>
      <c r="BT506" s="67"/>
      <c r="BU506" s="67"/>
    </row>
    <row r="507" spans="15:73" x14ac:dyDescent="0.2"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  <c r="AD507" s="67"/>
      <c r="AE507" s="67"/>
      <c r="AF507" s="67"/>
      <c r="AG507" s="67"/>
      <c r="AH507" s="67"/>
      <c r="AI507" s="67"/>
      <c r="AJ507" s="67"/>
      <c r="AK507" s="67"/>
      <c r="AL507" s="67"/>
      <c r="AM507" s="67"/>
      <c r="AN507" s="67"/>
      <c r="AO507" s="67"/>
      <c r="AP507" s="67"/>
      <c r="AQ507" s="67"/>
      <c r="AR507" s="67"/>
      <c r="AS507" s="67"/>
      <c r="AT507" s="67"/>
      <c r="AU507" s="67"/>
      <c r="AV507" s="67"/>
      <c r="AW507" s="67"/>
      <c r="AX507" s="67"/>
      <c r="AY507" s="67"/>
      <c r="AZ507" s="67"/>
      <c r="BA507" s="67"/>
      <c r="BB507" s="67"/>
      <c r="BC507" s="67"/>
      <c r="BD507" s="67"/>
      <c r="BE507" s="67"/>
      <c r="BF507" s="67"/>
      <c r="BG507" s="67"/>
      <c r="BH507" s="67"/>
      <c r="BI507" s="67"/>
      <c r="BJ507" s="67"/>
      <c r="BK507" s="67"/>
      <c r="BL507" s="67"/>
      <c r="BM507" s="67"/>
      <c r="BN507" s="67"/>
      <c r="BO507" s="67"/>
      <c r="BP507" s="67"/>
      <c r="BQ507" s="67"/>
      <c r="BR507" s="67"/>
      <c r="BS507" s="67"/>
      <c r="BT507" s="67"/>
      <c r="BU507" s="67"/>
    </row>
    <row r="508" spans="15:73" x14ac:dyDescent="0.2"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  <c r="AD508" s="67"/>
      <c r="AE508" s="67"/>
      <c r="AF508" s="67"/>
      <c r="AG508" s="67"/>
      <c r="AH508" s="67"/>
      <c r="AI508" s="67"/>
      <c r="AJ508" s="67"/>
      <c r="AK508" s="67"/>
      <c r="AL508" s="67"/>
      <c r="AM508" s="67"/>
      <c r="AN508" s="67"/>
      <c r="AO508" s="67"/>
      <c r="AP508" s="67"/>
      <c r="AQ508" s="67"/>
      <c r="AR508" s="67"/>
      <c r="AS508" s="67"/>
      <c r="AT508" s="67"/>
      <c r="AU508" s="67"/>
      <c r="AV508" s="67"/>
      <c r="AW508" s="67"/>
      <c r="AX508" s="67"/>
      <c r="AY508" s="67"/>
      <c r="AZ508" s="67"/>
      <c r="BA508" s="67"/>
      <c r="BB508" s="67"/>
      <c r="BC508" s="67"/>
      <c r="BD508" s="67"/>
      <c r="BE508" s="67"/>
      <c r="BF508" s="67"/>
      <c r="BG508" s="67"/>
      <c r="BH508" s="67"/>
      <c r="BI508" s="67"/>
      <c r="BJ508" s="67"/>
      <c r="BK508" s="67"/>
      <c r="BL508" s="67"/>
      <c r="BM508" s="67"/>
      <c r="BN508" s="67"/>
      <c r="BO508" s="67"/>
      <c r="BP508" s="67"/>
      <c r="BQ508" s="67"/>
      <c r="BR508" s="67"/>
      <c r="BS508" s="67"/>
      <c r="BT508" s="67"/>
      <c r="BU508" s="67"/>
    </row>
    <row r="509" spans="15:73" x14ac:dyDescent="0.2"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  <c r="AE509" s="67"/>
      <c r="AF509" s="67"/>
      <c r="AG509" s="67"/>
      <c r="AH509" s="67"/>
      <c r="AI509" s="67"/>
      <c r="AJ509" s="67"/>
      <c r="AK509" s="67"/>
      <c r="AL509" s="67"/>
      <c r="AM509" s="67"/>
      <c r="AN509" s="67"/>
      <c r="AO509" s="67"/>
      <c r="AP509" s="67"/>
      <c r="AQ509" s="67"/>
      <c r="AR509" s="67"/>
      <c r="AS509" s="67"/>
      <c r="AT509" s="67"/>
      <c r="AU509" s="67"/>
      <c r="AV509" s="67"/>
      <c r="AW509" s="67"/>
      <c r="AX509" s="67"/>
      <c r="AY509" s="67"/>
      <c r="AZ509" s="67"/>
      <c r="BA509" s="67"/>
      <c r="BB509" s="67"/>
      <c r="BC509" s="67"/>
      <c r="BD509" s="67"/>
      <c r="BE509" s="67"/>
      <c r="BF509" s="67"/>
      <c r="BG509" s="67"/>
      <c r="BH509" s="67"/>
      <c r="BI509" s="67"/>
      <c r="BJ509" s="67"/>
      <c r="BK509" s="67"/>
      <c r="BL509" s="67"/>
      <c r="BM509" s="67"/>
      <c r="BN509" s="67"/>
      <c r="BO509" s="67"/>
      <c r="BP509" s="67"/>
      <c r="BQ509" s="67"/>
      <c r="BR509" s="67"/>
      <c r="BS509" s="67"/>
      <c r="BT509" s="67"/>
      <c r="BU509" s="67"/>
    </row>
    <row r="510" spans="15:73" x14ac:dyDescent="0.2"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  <c r="AF510" s="67"/>
      <c r="AG510" s="67"/>
      <c r="AH510" s="67"/>
      <c r="AI510" s="67"/>
      <c r="AJ510" s="67"/>
      <c r="AK510" s="67"/>
      <c r="AL510" s="67"/>
      <c r="AM510" s="67"/>
      <c r="AN510" s="67"/>
      <c r="AO510" s="67"/>
      <c r="AP510" s="67"/>
      <c r="AQ510" s="67"/>
      <c r="AR510" s="67"/>
      <c r="AS510" s="67"/>
      <c r="AT510" s="67"/>
      <c r="AU510" s="67"/>
      <c r="AV510" s="67"/>
      <c r="AW510" s="67"/>
      <c r="AX510" s="67"/>
      <c r="AY510" s="67"/>
      <c r="AZ510" s="67"/>
      <c r="BA510" s="67"/>
      <c r="BB510" s="67"/>
      <c r="BC510" s="67"/>
      <c r="BD510" s="67"/>
      <c r="BE510" s="67"/>
      <c r="BF510" s="67"/>
      <c r="BG510" s="67"/>
      <c r="BH510" s="67"/>
      <c r="BI510" s="67"/>
      <c r="BJ510" s="67"/>
      <c r="BK510" s="67"/>
      <c r="BL510" s="67"/>
      <c r="BM510" s="67"/>
      <c r="BN510" s="67"/>
      <c r="BO510" s="67"/>
      <c r="BP510" s="67"/>
      <c r="BQ510" s="67"/>
      <c r="BR510" s="67"/>
      <c r="BS510" s="67"/>
      <c r="BT510" s="67"/>
      <c r="BU510" s="67"/>
    </row>
    <row r="511" spans="15:73" x14ac:dyDescent="0.2"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  <c r="AN511" s="67"/>
      <c r="AO511" s="67"/>
      <c r="AP511" s="67"/>
      <c r="AQ511" s="67"/>
      <c r="AR511" s="67"/>
      <c r="AS511" s="67"/>
      <c r="AT511" s="67"/>
      <c r="AU511" s="67"/>
      <c r="AV511" s="67"/>
      <c r="AW511" s="67"/>
      <c r="AX511" s="67"/>
      <c r="AY511" s="67"/>
      <c r="AZ511" s="67"/>
      <c r="BA511" s="67"/>
      <c r="BB511" s="67"/>
      <c r="BC511" s="67"/>
      <c r="BD511" s="67"/>
      <c r="BE511" s="67"/>
      <c r="BF511" s="67"/>
      <c r="BG511" s="67"/>
      <c r="BH511" s="67"/>
      <c r="BI511" s="67"/>
      <c r="BJ511" s="67"/>
      <c r="BK511" s="67"/>
      <c r="BL511" s="67"/>
      <c r="BM511" s="67"/>
      <c r="BN511" s="67"/>
      <c r="BO511" s="67"/>
      <c r="BP511" s="67"/>
      <c r="BQ511" s="67"/>
      <c r="BR511" s="67"/>
      <c r="BS511" s="67"/>
      <c r="BT511" s="67"/>
      <c r="BU511" s="67"/>
    </row>
    <row r="512" spans="15:73" x14ac:dyDescent="0.2"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  <c r="AD512" s="67"/>
      <c r="AE512" s="67"/>
      <c r="AF512" s="67"/>
      <c r="AG512" s="67"/>
      <c r="AH512" s="67"/>
      <c r="AI512" s="67"/>
      <c r="AJ512" s="67"/>
      <c r="AK512" s="67"/>
      <c r="AL512" s="67"/>
      <c r="AM512" s="67"/>
      <c r="AN512" s="67"/>
      <c r="AO512" s="67"/>
      <c r="AP512" s="67"/>
      <c r="AQ512" s="67"/>
      <c r="AR512" s="67"/>
      <c r="AS512" s="67"/>
      <c r="AT512" s="67"/>
      <c r="AU512" s="67"/>
      <c r="AV512" s="67"/>
      <c r="AW512" s="67"/>
      <c r="AX512" s="67"/>
      <c r="AY512" s="67"/>
      <c r="AZ512" s="67"/>
      <c r="BA512" s="67"/>
      <c r="BB512" s="67"/>
      <c r="BC512" s="67"/>
      <c r="BD512" s="67"/>
      <c r="BE512" s="67"/>
      <c r="BF512" s="67"/>
      <c r="BG512" s="67"/>
      <c r="BH512" s="67"/>
      <c r="BI512" s="67"/>
      <c r="BJ512" s="67"/>
      <c r="BK512" s="67"/>
      <c r="BL512" s="67"/>
      <c r="BM512" s="67"/>
      <c r="BN512" s="67"/>
      <c r="BO512" s="67"/>
      <c r="BP512" s="67"/>
      <c r="BQ512" s="67"/>
      <c r="BR512" s="67"/>
      <c r="BS512" s="67"/>
      <c r="BT512" s="67"/>
      <c r="BU512" s="67"/>
    </row>
    <row r="513" spans="15:73" x14ac:dyDescent="0.2"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  <c r="AD513" s="67"/>
      <c r="AE513" s="67"/>
      <c r="AF513" s="67"/>
      <c r="AG513" s="67"/>
      <c r="AH513" s="67"/>
      <c r="AI513" s="67"/>
      <c r="AJ513" s="67"/>
      <c r="AK513" s="67"/>
      <c r="AL513" s="67"/>
      <c r="AM513" s="67"/>
      <c r="AN513" s="67"/>
      <c r="AO513" s="67"/>
      <c r="AP513" s="67"/>
      <c r="AQ513" s="67"/>
      <c r="AR513" s="67"/>
      <c r="AS513" s="67"/>
      <c r="AT513" s="67"/>
      <c r="AU513" s="67"/>
      <c r="AV513" s="67"/>
      <c r="AW513" s="67"/>
      <c r="AX513" s="67"/>
      <c r="AY513" s="67"/>
      <c r="AZ513" s="67"/>
      <c r="BA513" s="67"/>
      <c r="BB513" s="67"/>
      <c r="BC513" s="67"/>
      <c r="BD513" s="67"/>
      <c r="BE513" s="67"/>
      <c r="BF513" s="67"/>
      <c r="BG513" s="67"/>
      <c r="BH513" s="67"/>
      <c r="BI513" s="67"/>
      <c r="BJ513" s="67"/>
      <c r="BK513" s="67"/>
      <c r="BL513" s="67"/>
      <c r="BM513" s="67"/>
      <c r="BN513" s="67"/>
      <c r="BO513" s="67"/>
      <c r="BP513" s="67"/>
      <c r="BQ513" s="67"/>
      <c r="BR513" s="67"/>
      <c r="BS513" s="67"/>
      <c r="BT513" s="67"/>
      <c r="BU513" s="67"/>
    </row>
    <row r="514" spans="15:73" x14ac:dyDescent="0.2"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  <c r="AD514" s="67"/>
      <c r="AE514" s="67"/>
      <c r="AF514" s="67"/>
      <c r="AG514" s="67"/>
      <c r="AH514" s="67"/>
      <c r="AI514" s="67"/>
      <c r="AJ514" s="67"/>
      <c r="AK514" s="67"/>
      <c r="AL514" s="67"/>
      <c r="AM514" s="67"/>
      <c r="AN514" s="67"/>
      <c r="AO514" s="67"/>
      <c r="AP514" s="67"/>
      <c r="AQ514" s="67"/>
      <c r="AR514" s="67"/>
      <c r="AS514" s="67"/>
      <c r="AT514" s="67"/>
      <c r="AU514" s="67"/>
      <c r="AV514" s="67"/>
      <c r="AW514" s="67"/>
      <c r="AX514" s="67"/>
      <c r="AY514" s="67"/>
      <c r="AZ514" s="67"/>
      <c r="BA514" s="67"/>
      <c r="BB514" s="67"/>
      <c r="BC514" s="67"/>
      <c r="BD514" s="67"/>
      <c r="BE514" s="67"/>
      <c r="BF514" s="67"/>
      <c r="BG514" s="67"/>
      <c r="BH514" s="67"/>
      <c r="BI514" s="67"/>
      <c r="BJ514" s="67"/>
      <c r="BK514" s="67"/>
      <c r="BL514" s="67"/>
      <c r="BM514" s="67"/>
      <c r="BN514" s="67"/>
      <c r="BO514" s="67"/>
      <c r="BP514" s="67"/>
      <c r="BQ514" s="67"/>
      <c r="BR514" s="67"/>
      <c r="BS514" s="67"/>
      <c r="BT514" s="67"/>
      <c r="BU514" s="67"/>
    </row>
    <row r="515" spans="15:73" x14ac:dyDescent="0.2"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  <c r="AD515" s="67"/>
      <c r="AE515" s="67"/>
      <c r="AF515" s="67"/>
      <c r="AG515" s="67"/>
      <c r="AH515" s="67"/>
      <c r="AI515" s="67"/>
      <c r="AJ515" s="67"/>
      <c r="AK515" s="67"/>
      <c r="AL515" s="67"/>
      <c r="AM515" s="67"/>
      <c r="AN515" s="67"/>
      <c r="AO515" s="67"/>
      <c r="AP515" s="67"/>
      <c r="AQ515" s="67"/>
      <c r="AR515" s="67"/>
      <c r="AS515" s="67"/>
      <c r="AT515" s="67"/>
      <c r="AU515" s="67"/>
      <c r="AV515" s="67"/>
      <c r="AW515" s="67"/>
      <c r="AX515" s="67"/>
      <c r="AY515" s="67"/>
      <c r="AZ515" s="67"/>
      <c r="BA515" s="67"/>
      <c r="BB515" s="67"/>
      <c r="BC515" s="67"/>
      <c r="BD515" s="67"/>
      <c r="BE515" s="67"/>
      <c r="BF515" s="67"/>
      <c r="BG515" s="67"/>
      <c r="BH515" s="67"/>
      <c r="BI515" s="67"/>
      <c r="BJ515" s="67"/>
      <c r="BK515" s="67"/>
      <c r="BL515" s="67"/>
      <c r="BM515" s="67"/>
      <c r="BN515" s="67"/>
      <c r="BO515" s="67"/>
      <c r="BP515" s="67"/>
      <c r="BQ515" s="67"/>
      <c r="BR515" s="67"/>
      <c r="BS515" s="67"/>
      <c r="BT515" s="67"/>
      <c r="BU515" s="67"/>
    </row>
    <row r="516" spans="15:73" x14ac:dyDescent="0.2"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  <c r="AD516" s="67"/>
      <c r="AE516" s="67"/>
      <c r="AF516" s="67"/>
      <c r="AG516" s="67"/>
      <c r="AH516" s="67"/>
      <c r="AI516" s="67"/>
      <c r="AJ516" s="67"/>
      <c r="AK516" s="67"/>
      <c r="AL516" s="67"/>
      <c r="AM516" s="67"/>
      <c r="AN516" s="67"/>
      <c r="AO516" s="67"/>
      <c r="AP516" s="67"/>
      <c r="AQ516" s="67"/>
      <c r="AR516" s="67"/>
      <c r="AS516" s="67"/>
      <c r="AT516" s="67"/>
      <c r="AU516" s="67"/>
      <c r="AV516" s="67"/>
      <c r="AW516" s="67"/>
      <c r="AX516" s="67"/>
      <c r="AY516" s="67"/>
      <c r="AZ516" s="67"/>
      <c r="BA516" s="67"/>
      <c r="BB516" s="67"/>
      <c r="BC516" s="67"/>
      <c r="BD516" s="67"/>
      <c r="BE516" s="67"/>
      <c r="BF516" s="67"/>
      <c r="BG516" s="67"/>
      <c r="BH516" s="67"/>
      <c r="BI516" s="67"/>
      <c r="BJ516" s="67"/>
      <c r="BK516" s="67"/>
      <c r="BL516" s="67"/>
      <c r="BM516" s="67"/>
      <c r="BN516" s="67"/>
      <c r="BO516" s="67"/>
      <c r="BP516" s="67"/>
      <c r="BQ516" s="67"/>
      <c r="BR516" s="67"/>
      <c r="BS516" s="67"/>
      <c r="BT516" s="67"/>
      <c r="BU516" s="67"/>
    </row>
    <row r="517" spans="15:73" x14ac:dyDescent="0.2"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  <c r="AD517" s="67"/>
      <c r="AE517" s="67"/>
      <c r="AF517" s="67"/>
      <c r="AG517" s="67"/>
      <c r="AH517" s="67"/>
      <c r="AI517" s="67"/>
      <c r="AJ517" s="67"/>
      <c r="AK517" s="67"/>
      <c r="AL517" s="67"/>
      <c r="AM517" s="67"/>
      <c r="AN517" s="67"/>
      <c r="AO517" s="67"/>
      <c r="AP517" s="67"/>
      <c r="AQ517" s="67"/>
      <c r="AR517" s="67"/>
      <c r="AS517" s="67"/>
      <c r="AT517" s="67"/>
      <c r="AU517" s="67"/>
      <c r="AV517" s="67"/>
      <c r="AW517" s="67"/>
      <c r="AX517" s="67"/>
      <c r="AY517" s="67"/>
      <c r="AZ517" s="67"/>
      <c r="BA517" s="67"/>
      <c r="BB517" s="67"/>
      <c r="BC517" s="67"/>
      <c r="BD517" s="67"/>
      <c r="BE517" s="67"/>
      <c r="BF517" s="67"/>
      <c r="BG517" s="67"/>
      <c r="BH517" s="67"/>
      <c r="BI517" s="67"/>
      <c r="BJ517" s="67"/>
      <c r="BK517" s="67"/>
      <c r="BL517" s="67"/>
      <c r="BM517" s="67"/>
      <c r="BN517" s="67"/>
      <c r="BO517" s="67"/>
      <c r="BP517" s="67"/>
      <c r="BQ517" s="67"/>
      <c r="BR517" s="67"/>
      <c r="BS517" s="67"/>
      <c r="BT517" s="67"/>
      <c r="BU517" s="67"/>
    </row>
    <row r="518" spans="15:73" x14ac:dyDescent="0.2"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  <c r="AD518" s="67"/>
      <c r="AE518" s="67"/>
      <c r="AF518" s="67"/>
      <c r="AG518" s="67"/>
      <c r="AH518" s="67"/>
      <c r="AI518" s="67"/>
      <c r="AJ518" s="67"/>
      <c r="AK518" s="67"/>
      <c r="AL518" s="67"/>
      <c r="AM518" s="67"/>
      <c r="AN518" s="67"/>
      <c r="AO518" s="67"/>
      <c r="AP518" s="67"/>
      <c r="AQ518" s="67"/>
      <c r="AR518" s="67"/>
      <c r="AS518" s="67"/>
      <c r="AT518" s="67"/>
      <c r="AU518" s="67"/>
      <c r="AV518" s="67"/>
      <c r="AW518" s="67"/>
      <c r="AX518" s="67"/>
      <c r="AY518" s="67"/>
      <c r="AZ518" s="67"/>
      <c r="BA518" s="67"/>
      <c r="BB518" s="67"/>
      <c r="BC518" s="67"/>
      <c r="BD518" s="67"/>
      <c r="BE518" s="67"/>
      <c r="BF518" s="67"/>
      <c r="BG518" s="67"/>
      <c r="BH518" s="67"/>
      <c r="BI518" s="67"/>
      <c r="BJ518" s="67"/>
      <c r="BK518" s="67"/>
      <c r="BL518" s="67"/>
      <c r="BM518" s="67"/>
      <c r="BN518" s="67"/>
      <c r="BO518" s="67"/>
      <c r="BP518" s="67"/>
      <c r="BQ518" s="67"/>
      <c r="BR518" s="67"/>
      <c r="BS518" s="67"/>
      <c r="BT518" s="67"/>
      <c r="BU518" s="67"/>
    </row>
    <row r="519" spans="15:73" x14ac:dyDescent="0.2"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  <c r="AN519" s="67"/>
      <c r="AO519" s="67"/>
      <c r="AP519" s="67"/>
      <c r="AQ519" s="67"/>
      <c r="AR519" s="67"/>
      <c r="AS519" s="67"/>
      <c r="AT519" s="67"/>
      <c r="AU519" s="67"/>
      <c r="AV519" s="67"/>
      <c r="AW519" s="67"/>
      <c r="AX519" s="67"/>
      <c r="AY519" s="67"/>
      <c r="AZ519" s="67"/>
      <c r="BA519" s="67"/>
      <c r="BB519" s="67"/>
      <c r="BC519" s="67"/>
      <c r="BD519" s="67"/>
      <c r="BE519" s="67"/>
      <c r="BF519" s="67"/>
      <c r="BG519" s="67"/>
      <c r="BH519" s="67"/>
      <c r="BI519" s="67"/>
      <c r="BJ519" s="67"/>
      <c r="BK519" s="67"/>
      <c r="BL519" s="67"/>
      <c r="BM519" s="67"/>
      <c r="BN519" s="67"/>
      <c r="BO519" s="67"/>
      <c r="BP519" s="67"/>
      <c r="BQ519" s="67"/>
      <c r="BR519" s="67"/>
      <c r="BS519" s="67"/>
      <c r="BT519" s="67"/>
      <c r="BU519" s="67"/>
    </row>
    <row r="520" spans="15:73" x14ac:dyDescent="0.2"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  <c r="AV520" s="67"/>
      <c r="AW520" s="67"/>
      <c r="AX520" s="67"/>
      <c r="AY520" s="67"/>
      <c r="AZ520" s="67"/>
      <c r="BA520" s="67"/>
      <c r="BB520" s="67"/>
      <c r="BC520" s="67"/>
      <c r="BD520" s="67"/>
      <c r="BE520" s="67"/>
      <c r="BF520" s="67"/>
      <c r="BG520" s="67"/>
      <c r="BH520" s="67"/>
      <c r="BI520" s="67"/>
      <c r="BJ520" s="67"/>
      <c r="BK520" s="67"/>
      <c r="BL520" s="67"/>
      <c r="BM520" s="67"/>
      <c r="BN520" s="67"/>
      <c r="BO520" s="67"/>
      <c r="BP520" s="67"/>
      <c r="BQ520" s="67"/>
      <c r="BR520" s="67"/>
      <c r="BS520" s="67"/>
      <c r="BT520" s="67"/>
      <c r="BU520" s="67"/>
    </row>
    <row r="521" spans="15:73" x14ac:dyDescent="0.2"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  <c r="AV521" s="67"/>
      <c r="AW521" s="67"/>
      <c r="AX521" s="67"/>
      <c r="AY521" s="67"/>
      <c r="AZ521" s="67"/>
      <c r="BA521" s="67"/>
      <c r="BB521" s="67"/>
      <c r="BC521" s="67"/>
      <c r="BD521" s="67"/>
      <c r="BE521" s="67"/>
      <c r="BF521" s="67"/>
      <c r="BG521" s="67"/>
      <c r="BH521" s="67"/>
      <c r="BI521" s="67"/>
      <c r="BJ521" s="67"/>
      <c r="BK521" s="67"/>
      <c r="BL521" s="67"/>
      <c r="BM521" s="67"/>
      <c r="BN521" s="67"/>
      <c r="BO521" s="67"/>
      <c r="BP521" s="67"/>
      <c r="BQ521" s="67"/>
      <c r="BR521" s="67"/>
      <c r="BS521" s="67"/>
      <c r="BT521" s="67"/>
      <c r="BU521" s="67"/>
    </row>
    <row r="522" spans="15:73" x14ac:dyDescent="0.2"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  <c r="AV522" s="67"/>
      <c r="AW522" s="67"/>
      <c r="AX522" s="67"/>
      <c r="AY522" s="67"/>
      <c r="AZ522" s="67"/>
      <c r="BA522" s="67"/>
      <c r="BB522" s="67"/>
      <c r="BC522" s="67"/>
      <c r="BD522" s="67"/>
      <c r="BE522" s="67"/>
      <c r="BF522" s="67"/>
      <c r="BG522" s="67"/>
      <c r="BH522" s="67"/>
      <c r="BI522" s="67"/>
      <c r="BJ522" s="67"/>
      <c r="BK522" s="67"/>
      <c r="BL522" s="67"/>
      <c r="BM522" s="67"/>
      <c r="BN522" s="67"/>
      <c r="BO522" s="67"/>
      <c r="BP522" s="67"/>
      <c r="BQ522" s="67"/>
      <c r="BR522" s="67"/>
      <c r="BS522" s="67"/>
      <c r="BT522" s="67"/>
      <c r="BU522" s="67"/>
    </row>
    <row r="523" spans="15:73" x14ac:dyDescent="0.2"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  <c r="AV523" s="67"/>
      <c r="AW523" s="67"/>
      <c r="AX523" s="67"/>
      <c r="AY523" s="67"/>
      <c r="AZ523" s="67"/>
      <c r="BA523" s="67"/>
      <c r="BB523" s="67"/>
      <c r="BC523" s="67"/>
      <c r="BD523" s="67"/>
      <c r="BE523" s="67"/>
      <c r="BF523" s="67"/>
      <c r="BG523" s="67"/>
      <c r="BH523" s="67"/>
      <c r="BI523" s="67"/>
      <c r="BJ523" s="67"/>
      <c r="BK523" s="67"/>
      <c r="BL523" s="67"/>
      <c r="BM523" s="67"/>
      <c r="BN523" s="67"/>
      <c r="BO523" s="67"/>
      <c r="BP523" s="67"/>
      <c r="BQ523" s="67"/>
      <c r="BR523" s="67"/>
      <c r="BS523" s="67"/>
      <c r="BT523" s="67"/>
      <c r="BU523" s="67"/>
    </row>
    <row r="524" spans="15:73" x14ac:dyDescent="0.2"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  <c r="AV524" s="67"/>
      <c r="AW524" s="67"/>
      <c r="AX524" s="67"/>
      <c r="AY524" s="67"/>
      <c r="AZ524" s="67"/>
      <c r="BA524" s="67"/>
      <c r="BB524" s="67"/>
      <c r="BC524" s="67"/>
      <c r="BD524" s="67"/>
      <c r="BE524" s="67"/>
      <c r="BF524" s="67"/>
      <c r="BG524" s="67"/>
      <c r="BH524" s="67"/>
      <c r="BI524" s="67"/>
      <c r="BJ524" s="67"/>
      <c r="BK524" s="67"/>
      <c r="BL524" s="67"/>
      <c r="BM524" s="67"/>
      <c r="BN524" s="67"/>
      <c r="BO524" s="67"/>
      <c r="BP524" s="67"/>
      <c r="BQ524" s="67"/>
      <c r="BR524" s="67"/>
      <c r="BS524" s="67"/>
      <c r="BT524" s="67"/>
      <c r="BU524" s="67"/>
    </row>
    <row r="525" spans="15:73" x14ac:dyDescent="0.2"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  <c r="AV525" s="67"/>
      <c r="AW525" s="67"/>
      <c r="AX525" s="67"/>
      <c r="AY525" s="67"/>
      <c r="AZ525" s="67"/>
      <c r="BA525" s="67"/>
      <c r="BB525" s="67"/>
      <c r="BC525" s="67"/>
      <c r="BD525" s="67"/>
      <c r="BE525" s="67"/>
      <c r="BF525" s="67"/>
      <c r="BG525" s="67"/>
      <c r="BH525" s="67"/>
      <c r="BI525" s="67"/>
      <c r="BJ525" s="67"/>
      <c r="BK525" s="67"/>
      <c r="BL525" s="67"/>
      <c r="BM525" s="67"/>
      <c r="BN525" s="67"/>
      <c r="BO525" s="67"/>
      <c r="BP525" s="67"/>
      <c r="BQ525" s="67"/>
      <c r="BR525" s="67"/>
      <c r="BS525" s="67"/>
      <c r="BT525" s="67"/>
      <c r="BU525" s="67"/>
    </row>
    <row r="526" spans="15:73" x14ac:dyDescent="0.2"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  <c r="AV526" s="67"/>
      <c r="AW526" s="67"/>
      <c r="AX526" s="67"/>
      <c r="AY526" s="67"/>
      <c r="AZ526" s="67"/>
      <c r="BA526" s="67"/>
      <c r="BB526" s="67"/>
      <c r="BC526" s="67"/>
      <c r="BD526" s="67"/>
      <c r="BE526" s="67"/>
      <c r="BF526" s="67"/>
      <c r="BG526" s="67"/>
      <c r="BH526" s="67"/>
      <c r="BI526" s="67"/>
      <c r="BJ526" s="67"/>
      <c r="BK526" s="67"/>
      <c r="BL526" s="67"/>
      <c r="BM526" s="67"/>
      <c r="BN526" s="67"/>
      <c r="BO526" s="67"/>
      <c r="BP526" s="67"/>
      <c r="BQ526" s="67"/>
      <c r="BR526" s="67"/>
      <c r="BS526" s="67"/>
      <c r="BT526" s="67"/>
      <c r="BU526" s="67"/>
    </row>
    <row r="527" spans="15:73" x14ac:dyDescent="0.2"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  <c r="AV527" s="67"/>
      <c r="AW527" s="67"/>
      <c r="AX527" s="67"/>
      <c r="AY527" s="67"/>
      <c r="AZ527" s="67"/>
      <c r="BA527" s="67"/>
      <c r="BB527" s="67"/>
      <c r="BC527" s="67"/>
      <c r="BD527" s="67"/>
      <c r="BE527" s="67"/>
      <c r="BF527" s="67"/>
      <c r="BG527" s="67"/>
      <c r="BH527" s="67"/>
      <c r="BI527" s="67"/>
      <c r="BJ527" s="67"/>
      <c r="BK527" s="67"/>
      <c r="BL527" s="67"/>
      <c r="BM527" s="67"/>
      <c r="BN527" s="67"/>
      <c r="BO527" s="67"/>
      <c r="BP527" s="67"/>
      <c r="BQ527" s="67"/>
      <c r="BR527" s="67"/>
      <c r="BS527" s="67"/>
      <c r="BT527" s="67"/>
      <c r="BU527" s="67"/>
    </row>
    <row r="528" spans="15:73" x14ac:dyDescent="0.2"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  <c r="AV528" s="67"/>
      <c r="AW528" s="67"/>
      <c r="AX528" s="67"/>
      <c r="AY528" s="67"/>
      <c r="AZ528" s="67"/>
      <c r="BA528" s="67"/>
      <c r="BB528" s="67"/>
      <c r="BC528" s="67"/>
      <c r="BD528" s="67"/>
      <c r="BE528" s="67"/>
      <c r="BF528" s="67"/>
      <c r="BG528" s="67"/>
      <c r="BH528" s="67"/>
      <c r="BI528" s="67"/>
      <c r="BJ528" s="67"/>
      <c r="BK528" s="67"/>
      <c r="BL528" s="67"/>
      <c r="BM528" s="67"/>
      <c r="BN528" s="67"/>
      <c r="BO528" s="67"/>
      <c r="BP528" s="67"/>
      <c r="BQ528" s="67"/>
      <c r="BR528" s="67"/>
      <c r="BS528" s="67"/>
      <c r="BT528" s="67"/>
      <c r="BU528" s="67"/>
    </row>
    <row r="529" spans="15:73" x14ac:dyDescent="0.2"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  <c r="AV529" s="67"/>
      <c r="AW529" s="67"/>
      <c r="AX529" s="67"/>
      <c r="AY529" s="67"/>
      <c r="AZ529" s="67"/>
      <c r="BA529" s="67"/>
      <c r="BB529" s="67"/>
      <c r="BC529" s="67"/>
      <c r="BD529" s="67"/>
      <c r="BE529" s="67"/>
      <c r="BF529" s="67"/>
      <c r="BG529" s="67"/>
      <c r="BH529" s="67"/>
      <c r="BI529" s="67"/>
      <c r="BJ529" s="67"/>
      <c r="BK529" s="67"/>
      <c r="BL529" s="67"/>
      <c r="BM529" s="67"/>
      <c r="BN529" s="67"/>
      <c r="BO529" s="67"/>
      <c r="BP529" s="67"/>
      <c r="BQ529" s="67"/>
      <c r="BR529" s="67"/>
      <c r="BS529" s="67"/>
      <c r="BT529" s="67"/>
      <c r="BU529" s="67"/>
    </row>
    <row r="530" spans="15:73" x14ac:dyDescent="0.2"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  <c r="AV530" s="67"/>
      <c r="AW530" s="67"/>
      <c r="AX530" s="67"/>
      <c r="AY530" s="67"/>
      <c r="AZ530" s="67"/>
      <c r="BA530" s="67"/>
      <c r="BB530" s="67"/>
      <c r="BC530" s="67"/>
      <c r="BD530" s="67"/>
      <c r="BE530" s="67"/>
      <c r="BF530" s="67"/>
      <c r="BG530" s="67"/>
      <c r="BH530" s="67"/>
      <c r="BI530" s="67"/>
      <c r="BJ530" s="67"/>
      <c r="BK530" s="67"/>
      <c r="BL530" s="67"/>
      <c r="BM530" s="67"/>
      <c r="BN530" s="67"/>
      <c r="BO530" s="67"/>
      <c r="BP530" s="67"/>
      <c r="BQ530" s="67"/>
      <c r="BR530" s="67"/>
      <c r="BS530" s="67"/>
      <c r="BT530" s="67"/>
      <c r="BU530" s="67"/>
    </row>
    <row r="531" spans="15:73" x14ac:dyDescent="0.2"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  <c r="AV531" s="67"/>
      <c r="AW531" s="67"/>
      <c r="AX531" s="67"/>
      <c r="AY531" s="67"/>
      <c r="AZ531" s="67"/>
      <c r="BA531" s="67"/>
      <c r="BB531" s="67"/>
      <c r="BC531" s="67"/>
      <c r="BD531" s="67"/>
      <c r="BE531" s="67"/>
      <c r="BF531" s="67"/>
      <c r="BG531" s="67"/>
      <c r="BH531" s="67"/>
      <c r="BI531" s="67"/>
      <c r="BJ531" s="67"/>
      <c r="BK531" s="67"/>
      <c r="BL531" s="67"/>
      <c r="BM531" s="67"/>
      <c r="BN531" s="67"/>
      <c r="BO531" s="67"/>
      <c r="BP531" s="67"/>
      <c r="BQ531" s="67"/>
      <c r="BR531" s="67"/>
      <c r="BS531" s="67"/>
      <c r="BT531" s="67"/>
      <c r="BU531" s="67"/>
    </row>
    <row r="532" spans="15:73" x14ac:dyDescent="0.2"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  <c r="AV532" s="67"/>
      <c r="AW532" s="67"/>
      <c r="AX532" s="67"/>
      <c r="AY532" s="67"/>
      <c r="AZ532" s="67"/>
      <c r="BA532" s="67"/>
      <c r="BB532" s="67"/>
      <c r="BC532" s="67"/>
      <c r="BD532" s="67"/>
      <c r="BE532" s="67"/>
      <c r="BF532" s="67"/>
      <c r="BG532" s="67"/>
      <c r="BH532" s="67"/>
      <c r="BI532" s="67"/>
      <c r="BJ532" s="67"/>
      <c r="BK532" s="67"/>
      <c r="BL532" s="67"/>
      <c r="BM532" s="67"/>
      <c r="BN532" s="67"/>
      <c r="BO532" s="67"/>
      <c r="BP532" s="67"/>
      <c r="BQ532" s="67"/>
      <c r="BR532" s="67"/>
      <c r="BS532" s="67"/>
      <c r="BT532" s="67"/>
      <c r="BU532" s="67"/>
    </row>
    <row r="533" spans="15:73" x14ac:dyDescent="0.2"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  <c r="AV533" s="67"/>
      <c r="AW533" s="67"/>
      <c r="AX533" s="67"/>
      <c r="AY533" s="67"/>
      <c r="AZ533" s="67"/>
      <c r="BA533" s="67"/>
      <c r="BB533" s="67"/>
      <c r="BC533" s="67"/>
      <c r="BD533" s="67"/>
      <c r="BE533" s="67"/>
      <c r="BF533" s="67"/>
      <c r="BG533" s="67"/>
      <c r="BH533" s="67"/>
      <c r="BI533" s="67"/>
      <c r="BJ533" s="67"/>
      <c r="BK533" s="67"/>
      <c r="BL533" s="67"/>
      <c r="BM533" s="67"/>
      <c r="BN533" s="67"/>
      <c r="BO533" s="67"/>
      <c r="BP533" s="67"/>
      <c r="BQ533" s="67"/>
      <c r="BR533" s="67"/>
      <c r="BS533" s="67"/>
      <c r="BT533" s="67"/>
      <c r="BU533" s="67"/>
    </row>
    <row r="534" spans="15:73" x14ac:dyDescent="0.2"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  <c r="BB534" s="67"/>
      <c r="BC534" s="67"/>
      <c r="BD534" s="67"/>
      <c r="BE534" s="67"/>
      <c r="BF534" s="67"/>
      <c r="BG534" s="67"/>
      <c r="BH534" s="67"/>
      <c r="BI534" s="67"/>
      <c r="BJ534" s="67"/>
      <c r="BK534" s="67"/>
      <c r="BL534" s="67"/>
      <c r="BM534" s="67"/>
      <c r="BN534" s="67"/>
      <c r="BO534" s="67"/>
      <c r="BP534" s="67"/>
      <c r="BQ534" s="67"/>
      <c r="BR534" s="67"/>
      <c r="BS534" s="67"/>
      <c r="BT534" s="67"/>
      <c r="BU534" s="67"/>
    </row>
    <row r="535" spans="15:73" x14ac:dyDescent="0.2"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  <c r="AV535" s="67"/>
      <c r="AW535" s="67"/>
      <c r="AX535" s="67"/>
      <c r="AY535" s="67"/>
      <c r="AZ535" s="67"/>
      <c r="BA535" s="67"/>
      <c r="BB535" s="67"/>
      <c r="BC535" s="67"/>
      <c r="BD535" s="67"/>
      <c r="BE535" s="67"/>
      <c r="BF535" s="67"/>
      <c r="BG535" s="67"/>
      <c r="BH535" s="67"/>
      <c r="BI535" s="67"/>
      <c r="BJ535" s="67"/>
      <c r="BK535" s="67"/>
      <c r="BL535" s="67"/>
      <c r="BM535" s="67"/>
      <c r="BN535" s="67"/>
      <c r="BO535" s="67"/>
      <c r="BP535" s="67"/>
      <c r="BQ535" s="67"/>
      <c r="BR535" s="67"/>
      <c r="BS535" s="67"/>
      <c r="BT535" s="67"/>
      <c r="BU535" s="67"/>
    </row>
    <row r="536" spans="15:73" x14ac:dyDescent="0.2"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  <c r="AD536" s="67"/>
      <c r="AE536" s="67"/>
      <c r="AF536" s="67"/>
      <c r="AG536" s="67"/>
      <c r="AH536" s="67"/>
      <c r="AI536" s="67"/>
      <c r="AJ536" s="67"/>
      <c r="AK536" s="67"/>
      <c r="AL536" s="67"/>
      <c r="AM536" s="67"/>
      <c r="AN536" s="67"/>
      <c r="AO536" s="67"/>
      <c r="AP536" s="67"/>
      <c r="AQ536" s="67"/>
      <c r="AR536" s="67"/>
      <c r="AS536" s="67"/>
      <c r="AT536" s="67"/>
      <c r="AU536" s="67"/>
      <c r="AV536" s="67"/>
      <c r="AW536" s="67"/>
      <c r="AX536" s="67"/>
      <c r="AY536" s="67"/>
      <c r="AZ536" s="67"/>
      <c r="BA536" s="67"/>
      <c r="BB536" s="67"/>
      <c r="BC536" s="67"/>
      <c r="BD536" s="67"/>
      <c r="BE536" s="67"/>
      <c r="BF536" s="67"/>
      <c r="BG536" s="67"/>
      <c r="BH536" s="67"/>
      <c r="BI536" s="67"/>
      <c r="BJ536" s="67"/>
      <c r="BK536" s="67"/>
      <c r="BL536" s="67"/>
      <c r="BM536" s="67"/>
      <c r="BN536" s="67"/>
      <c r="BO536" s="67"/>
      <c r="BP536" s="67"/>
      <c r="BQ536" s="67"/>
      <c r="BR536" s="67"/>
      <c r="BS536" s="67"/>
      <c r="BT536" s="67"/>
      <c r="BU536" s="67"/>
    </row>
    <row r="537" spans="15:73" x14ac:dyDescent="0.2"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  <c r="AD537" s="67"/>
      <c r="AE537" s="67"/>
      <c r="AF537" s="67"/>
      <c r="AG537" s="67"/>
      <c r="AH537" s="67"/>
      <c r="AI537" s="67"/>
      <c r="AJ537" s="67"/>
      <c r="AK537" s="67"/>
      <c r="AL537" s="67"/>
      <c r="AM537" s="67"/>
      <c r="AN537" s="67"/>
      <c r="AO537" s="67"/>
      <c r="AP537" s="67"/>
      <c r="AQ537" s="67"/>
      <c r="AR537" s="67"/>
      <c r="AS537" s="67"/>
      <c r="AT537" s="67"/>
      <c r="AU537" s="67"/>
      <c r="AV537" s="67"/>
      <c r="AW537" s="67"/>
      <c r="AX537" s="67"/>
      <c r="AY537" s="67"/>
      <c r="AZ537" s="67"/>
      <c r="BA537" s="67"/>
      <c r="BB537" s="67"/>
      <c r="BC537" s="67"/>
      <c r="BD537" s="67"/>
      <c r="BE537" s="67"/>
      <c r="BF537" s="67"/>
      <c r="BG537" s="67"/>
      <c r="BH537" s="67"/>
      <c r="BI537" s="67"/>
      <c r="BJ537" s="67"/>
      <c r="BK537" s="67"/>
      <c r="BL537" s="67"/>
      <c r="BM537" s="67"/>
      <c r="BN537" s="67"/>
      <c r="BO537" s="67"/>
      <c r="BP537" s="67"/>
      <c r="BQ537" s="67"/>
      <c r="BR537" s="67"/>
      <c r="BS537" s="67"/>
      <c r="BT537" s="67"/>
      <c r="BU537" s="67"/>
    </row>
    <row r="538" spans="15:73" x14ac:dyDescent="0.2"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  <c r="AD538" s="67"/>
      <c r="AE538" s="67"/>
      <c r="AF538" s="67"/>
      <c r="AG538" s="67"/>
      <c r="AH538" s="67"/>
      <c r="AI538" s="67"/>
      <c r="AJ538" s="67"/>
      <c r="AK538" s="67"/>
      <c r="AL538" s="67"/>
      <c r="AM538" s="67"/>
      <c r="AN538" s="67"/>
      <c r="AO538" s="67"/>
      <c r="AP538" s="67"/>
      <c r="AQ538" s="67"/>
      <c r="AR538" s="67"/>
      <c r="AS538" s="67"/>
      <c r="AT538" s="67"/>
      <c r="AU538" s="67"/>
      <c r="AV538" s="67"/>
      <c r="AW538" s="67"/>
      <c r="AX538" s="67"/>
      <c r="AY538" s="67"/>
      <c r="AZ538" s="67"/>
      <c r="BA538" s="67"/>
      <c r="BB538" s="67"/>
      <c r="BC538" s="67"/>
      <c r="BD538" s="67"/>
      <c r="BE538" s="67"/>
      <c r="BF538" s="67"/>
      <c r="BG538" s="67"/>
      <c r="BH538" s="67"/>
      <c r="BI538" s="67"/>
      <c r="BJ538" s="67"/>
      <c r="BK538" s="67"/>
      <c r="BL538" s="67"/>
      <c r="BM538" s="67"/>
      <c r="BN538" s="67"/>
      <c r="BO538" s="67"/>
      <c r="BP538" s="67"/>
      <c r="BQ538" s="67"/>
      <c r="BR538" s="67"/>
      <c r="BS538" s="67"/>
      <c r="BT538" s="67"/>
      <c r="BU538" s="67"/>
    </row>
    <row r="539" spans="15:73" x14ac:dyDescent="0.2"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  <c r="AN539" s="67"/>
      <c r="AO539" s="67"/>
      <c r="AP539" s="67"/>
      <c r="AQ539" s="67"/>
      <c r="AR539" s="67"/>
      <c r="AS539" s="67"/>
      <c r="AT539" s="67"/>
      <c r="AU539" s="67"/>
      <c r="AV539" s="67"/>
      <c r="AW539" s="67"/>
      <c r="AX539" s="67"/>
      <c r="AY539" s="67"/>
      <c r="AZ539" s="67"/>
      <c r="BA539" s="67"/>
      <c r="BB539" s="67"/>
      <c r="BC539" s="67"/>
      <c r="BD539" s="67"/>
      <c r="BE539" s="67"/>
      <c r="BF539" s="67"/>
      <c r="BG539" s="67"/>
      <c r="BH539" s="67"/>
      <c r="BI539" s="67"/>
      <c r="BJ539" s="67"/>
      <c r="BK539" s="67"/>
      <c r="BL539" s="67"/>
      <c r="BM539" s="67"/>
      <c r="BN539" s="67"/>
      <c r="BO539" s="67"/>
      <c r="BP539" s="67"/>
      <c r="BQ539" s="67"/>
      <c r="BR539" s="67"/>
      <c r="BS539" s="67"/>
      <c r="BT539" s="67"/>
      <c r="BU539" s="67"/>
    </row>
    <row r="540" spans="15:73" x14ac:dyDescent="0.2"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  <c r="AD540" s="67"/>
      <c r="AE540" s="67"/>
      <c r="AF540" s="67"/>
      <c r="AG540" s="67"/>
      <c r="AH540" s="67"/>
      <c r="AI540" s="67"/>
      <c r="AJ540" s="67"/>
      <c r="AK540" s="67"/>
      <c r="AL540" s="67"/>
      <c r="AM540" s="67"/>
      <c r="AN540" s="67"/>
      <c r="AO540" s="67"/>
      <c r="AP540" s="67"/>
      <c r="AQ540" s="67"/>
      <c r="AR540" s="67"/>
      <c r="AS540" s="67"/>
      <c r="AT540" s="67"/>
      <c r="AU540" s="67"/>
      <c r="AV540" s="67"/>
      <c r="AW540" s="67"/>
      <c r="AX540" s="67"/>
      <c r="AY540" s="67"/>
      <c r="AZ540" s="67"/>
      <c r="BA540" s="67"/>
      <c r="BB540" s="67"/>
      <c r="BC540" s="67"/>
      <c r="BD540" s="67"/>
      <c r="BE540" s="67"/>
      <c r="BF540" s="67"/>
      <c r="BG540" s="67"/>
      <c r="BH540" s="67"/>
      <c r="BI540" s="67"/>
      <c r="BJ540" s="67"/>
      <c r="BK540" s="67"/>
      <c r="BL540" s="67"/>
      <c r="BM540" s="67"/>
      <c r="BN540" s="67"/>
      <c r="BO540" s="67"/>
      <c r="BP540" s="67"/>
      <c r="BQ540" s="67"/>
      <c r="BR540" s="67"/>
      <c r="BS540" s="67"/>
      <c r="BT540" s="67"/>
      <c r="BU540" s="67"/>
    </row>
    <row r="541" spans="15:73" x14ac:dyDescent="0.2"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  <c r="AN541" s="67"/>
      <c r="AO541" s="67"/>
      <c r="AP541" s="67"/>
      <c r="AQ541" s="67"/>
      <c r="AR541" s="67"/>
      <c r="AS541" s="67"/>
      <c r="AT541" s="67"/>
      <c r="AU541" s="67"/>
      <c r="AV541" s="67"/>
      <c r="AW541" s="67"/>
      <c r="AX541" s="67"/>
      <c r="AY541" s="67"/>
      <c r="AZ541" s="67"/>
      <c r="BA541" s="67"/>
      <c r="BB541" s="67"/>
      <c r="BC541" s="67"/>
      <c r="BD541" s="67"/>
      <c r="BE541" s="67"/>
      <c r="BF541" s="67"/>
      <c r="BG541" s="67"/>
      <c r="BH541" s="67"/>
      <c r="BI541" s="67"/>
      <c r="BJ541" s="67"/>
      <c r="BK541" s="67"/>
      <c r="BL541" s="67"/>
      <c r="BM541" s="67"/>
      <c r="BN541" s="67"/>
      <c r="BO541" s="67"/>
      <c r="BP541" s="67"/>
      <c r="BQ541" s="67"/>
      <c r="BR541" s="67"/>
      <c r="BS541" s="67"/>
      <c r="BT541" s="67"/>
      <c r="BU541" s="67"/>
    </row>
    <row r="542" spans="15:73" x14ac:dyDescent="0.2"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  <c r="AN542" s="67"/>
      <c r="AO542" s="67"/>
      <c r="AP542" s="67"/>
      <c r="AQ542" s="67"/>
      <c r="AR542" s="67"/>
      <c r="AS542" s="67"/>
      <c r="AT542" s="67"/>
      <c r="AU542" s="67"/>
      <c r="AV542" s="67"/>
      <c r="AW542" s="67"/>
      <c r="AX542" s="67"/>
      <c r="AY542" s="67"/>
      <c r="AZ542" s="67"/>
      <c r="BA542" s="67"/>
      <c r="BB542" s="67"/>
      <c r="BC542" s="67"/>
      <c r="BD542" s="67"/>
      <c r="BE542" s="67"/>
      <c r="BF542" s="67"/>
      <c r="BG542" s="67"/>
      <c r="BH542" s="67"/>
      <c r="BI542" s="67"/>
      <c r="BJ542" s="67"/>
      <c r="BK542" s="67"/>
      <c r="BL542" s="67"/>
      <c r="BM542" s="67"/>
      <c r="BN542" s="67"/>
      <c r="BO542" s="67"/>
      <c r="BP542" s="67"/>
      <c r="BQ542" s="67"/>
      <c r="BR542" s="67"/>
      <c r="BS542" s="67"/>
      <c r="BT542" s="67"/>
      <c r="BU542" s="67"/>
    </row>
    <row r="543" spans="15:73" x14ac:dyDescent="0.2"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  <c r="AD543" s="67"/>
      <c r="AE543" s="67"/>
      <c r="AF543" s="67"/>
      <c r="AG543" s="67"/>
      <c r="AH543" s="67"/>
      <c r="AI543" s="67"/>
      <c r="AJ543" s="67"/>
      <c r="AK543" s="67"/>
      <c r="AL543" s="67"/>
      <c r="AM543" s="67"/>
      <c r="AN543" s="67"/>
      <c r="AO543" s="67"/>
      <c r="AP543" s="67"/>
      <c r="AQ543" s="67"/>
      <c r="AR543" s="67"/>
      <c r="AS543" s="67"/>
      <c r="AT543" s="67"/>
      <c r="AU543" s="67"/>
      <c r="AV543" s="67"/>
      <c r="AW543" s="67"/>
      <c r="AX543" s="67"/>
      <c r="AY543" s="67"/>
      <c r="AZ543" s="67"/>
      <c r="BA543" s="67"/>
      <c r="BB543" s="67"/>
      <c r="BC543" s="67"/>
      <c r="BD543" s="67"/>
      <c r="BE543" s="67"/>
      <c r="BF543" s="67"/>
      <c r="BG543" s="67"/>
      <c r="BH543" s="67"/>
      <c r="BI543" s="67"/>
      <c r="BJ543" s="67"/>
      <c r="BK543" s="67"/>
      <c r="BL543" s="67"/>
      <c r="BM543" s="67"/>
      <c r="BN543" s="67"/>
      <c r="BO543" s="67"/>
      <c r="BP543" s="67"/>
      <c r="BQ543" s="67"/>
      <c r="BR543" s="67"/>
      <c r="BS543" s="67"/>
      <c r="BT543" s="67"/>
      <c r="BU543" s="67"/>
    </row>
    <row r="544" spans="15:73" x14ac:dyDescent="0.2"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  <c r="AD544" s="67"/>
      <c r="AE544" s="67"/>
      <c r="AF544" s="67"/>
      <c r="AG544" s="67"/>
      <c r="AH544" s="67"/>
      <c r="AI544" s="67"/>
      <c r="AJ544" s="67"/>
      <c r="AK544" s="67"/>
      <c r="AL544" s="67"/>
      <c r="AM544" s="67"/>
      <c r="AN544" s="67"/>
      <c r="AO544" s="67"/>
      <c r="AP544" s="67"/>
      <c r="AQ544" s="67"/>
      <c r="AR544" s="67"/>
      <c r="AS544" s="67"/>
      <c r="AT544" s="67"/>
      <c r="AU544" s="67"/>
      <c r="AV544" s="67"/>
      <c r="AW544" s="67"/>
      <c r="AX544" s="67"/>
      <c r="AY544" s="67"/>
      <c r="AZ544" s="67"/>
      <c r="BA544" s="67"/>
      <c r="BB544" s="67"/>
      <c r="BC544" s="67"/>
      <c r="BD544" s="67"/>
      <c r="BE544" s="67"/>
      <c r="BF544" s="67"/>
      <c r="BG544" s="67"/>
      <c r="BH544" s="67"/>
      <c r="BI544" s="67"/>
      <c r="BJ544" s="67"/>
      <c r="BK544" s="67"/>
      <c r="BL544" s="67"/>
      <c r="BM544" s="67"/>
      <c r="BN544" s="67"/>
      <c r="BO544" s="67"/>
      <c r="BP544" s="67"/>
      <c r="BQ544" s="67"/>
      <c r="BR544" s="67"/>
      <c r="BS544" s="67"/>
      <c r="BT544" s="67"/>
      <c r="BU544" s="67"/>
    </row>
    <row r="545" spans="15:73" x14ac:dyDescent="0.2"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  <c r="AD545" s="67"/>
      <c r="AE545" s="67"/>
      <c r="AF545" s="67"/>
      <c r="AG545" s="67"/>
      <c r="AH545" s="67"/>
      <c r="AI545" s="67"/>
      <c r="AJ545" s="67"/>
      <c r="AK545" s="67"/>
      <c r="AL545" s="67"/>
      <c r="AM545" s="67"/>
      <c r="AN545" s="67"/>
      <c r="AO545" s="67"/>
      <c r="AP545" s="67"/>
      <c r="AQ545" s="67"/>
      <c r="AR545" s="67"/>
      <c r="AS545" s="67"/>
      <c r="AT545" s="67"/>
      <c r="AU545" s="67"/>
      <c r="AV545" s="67"/>
      <c r="AW545" s="67"/>
      <c r="AX545" s="67"/>
      <c r="AY545" s="67"/>
      <c r="AZ545" s="67"/>
      <c r="BA545" s="67"/>
      <c r="BB545" s="67"/>
      <c r="BC545" s="67"/>
      <c r="BD545" s="67"/>
      <c r="BE545" s="67"/>
      <c r="BF545" s="67"/>
      <c r="BG545" s="67"/>
      <c r="BH545" s="67"/>
      <c r="BI545" s="67"/>
      <c r="BJ545" s="67"/>
      <c r="BK545" s="67"/>
      <c r="BL545" s="67"/>
      <c r="BM545" s="67"/>
      <c r="BN545" s="67"/>
      <c r="BO545" s="67"/>
      <c r="BP545" s="67"/>
      <c r="BQ545" s="67"/>
      <c r="BR545" s="67"/>
      <c r="BS545" s="67"/>
      <c r="BT545" s="67"/>
      <c r="BU545" s="67"/>
    </row>
    <row r="546" spans="15:73" x14ac:dyDescent="0.2"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  <c r="AC546" s="67"/>
      <c r="AD546" s="67"/>
      <c r="AE546" s="67"/>
      <c r="AF546" s="67"/>
      <c r="AG546" s="67"/>
      <c r="AH546" s="67"/>
      <c r="AI546" s="67"/>
      <c r="AJ546" s="67"/>
      <c r="AK546" s="67"/>
      <c r="AL546" s="67"/>
      <c r="AM546" s="67"/>
      <c r="AN546" s="67"/>
      <c r="AO546" s="67"/>
      <c r="AP546" s="67"/>
      <c r="AQ546" s="67"/>
      <c r="AR546" s="67"/>
      <c r="AS546" s="67"/>
      <c r="AT546" s="67"/>
      <c r="AU546" s="67"/>
      <c r="AV546" s="67"/>
      <c r="AW546" s="67"/>
      <c r="AX546" s="67"/>
      <c r="AY546" s="67"/>
      <c r="AZ546" s="67"/>
      <c r="BA546" s="67"/>
      <c r="BB546" s="67"/>
      <c r="BC546" s="67"/>
      <c r="BD546" s="67"/>
      <c r="BE546" s="67"/>
      <c r="BF546" s="67"/>
      <c r="BG546" s="67"/>
      <c r="BH546" s="67"/>
      <c r="BI546" s="67"/>
      <c r="BJ546" s="67"/>
      <c r="BK546" s="67"/>
      <c r="BL546" s="67"/>
      <c r="BM546" s="67"/>
      <c r="BN546" s="67"/>
      <c r="BO546" s="67"/>
      <c r="BP546" s="67"/>
      <c r="BQ546" s="67"/>
      <c r="BR546" s="67"/>
      <c r="BS546" s="67"/>
      <c r="BT546" s="67"/>
      <c r="BU546" s="67"/>
    </row>
    <row r="547" spans="15:73" x14ac:dyDescent="0.2"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  <c r="AC547" s="67"/>
      <c r="AD547" s="67"/>
      <c r="AE547" s="67"/>
      <c r="AF547" s="67"/>
      <c r="AG547" s="67"/>
      <c r="AH547" s="67"/>
      <c r="AI547" s="67"/>
      <c r="AJ547" s="67"/>
      <c r="AK547" s="67"/>
      <c r="AL547" s="67"/>
      <c r="AM547" s="67"/>
      <c r="AN547" s="67"/>
      <c r="AO547" s="67"/>
      <c r="AP547" s="67"/>
      <c r="AQ547" s="67"/>
      <c r="AR547" s="67"/>
      <c r="AS547" s="67"/>
      <c r="AT547" s="67"/>
      <c r="AU547" s="67"/>
      <c r="AV547" s="67"/>
      <c r="AW547" s="67"/>
      <c r="AX547" s="67"/>
      <c r="AY547" s="67"/>
      <c r="AZ547" s="67"/>
      <c r="BA547" s="67"/>
      <c r="BB547" s="67"/>
      <c r="BC547" s="67"/>
      <c r="BD547" s="67"/>
      <c r="BE547" s="67"/>
      <c r="BF547" s="67"/>
      <c r="BG547" s="67"/>
      <c r="BH547" s="67"/>
      <c r="BI547" s="67"/>
      <c r="BJ547" s="67"/>
      <c r="BK547" s="67"/>
      <c r="BL547" s="67"/>
      <c r="BM547" s="67"/>
      <c r="BN547" s="67"/>
      <c r="BO547" s="67"/>
      <c r="BP547" s="67"/>
      <c r="BQ547" s="67"/>
      <c r="BR547" s="67"/>
      <c r="BS547" s="67"/>
      <c r="BT547" s="67"/>
      <c r="BU547" s="67"/>
    </row>
  </sheetData>
  <dataConsolidate link="1"/>
  <phoneticPr fontId="11" type="noConversion"/>
  <pageMargins left="0.75" right="0.75" top="1" bottom="1" header="0.5" footer="0.5"/>
  <pageSetup scale="64" orientation="portrait" verticalDpi="300" r:id="rId1"/>
  <headerFooter alignWithMargins="0"/>
  <ignoredErrors>
    <ignoredError sqref="K15 K19 K23 K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J44"/>
  <sheetViews>
    <sheetView showGridLines="0" zoomScaleNormal="100" workbookViewId="0"/>
  </sheetViews>
  <sheetFormatPr defaultRowHeight="12.75" x14ac:dyDescent="0.2"/>
  <cols>
    <col min="1" max="1" width="14.7109375" style="25" customWidth="1"/>
    <col min="2" max="2" width="12.28515625" style="25" bestFit="1" customWidth="1"/>
    <col min="3" max="3" width="11.7109375" style="25" bestFit="1" customWidth="1"/>
    <col min="4" max="4" width="8.7109375" style="25" bestFit="1" customWidth="1"/>
    <col min="5" max="5" width="11.5703125" style="25" bestFit="1" customWidth="1"/>
    <col min="6" max="6" width="1.7109375" style="25" customWidth="1"/>
    <col min="7" max="9" width="11.5703125" style="25" bestFit="1" customWidth="1"/>
    <col min="10" max="10" width="10.7109375" style="25" customWidth="1"/>
    <col min="11" max="16384" width="9.140625" style="25"/>
  </cols>
  <sheetData>
    <row r="1" spans="1:10" ht="14.25" x14ac:dyDescent="0.2">
      <c r="A1" s="24" t="s">
        <v>132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4.25" x14ac:dyDescent="0.2">
      <c r="A2" s="26"/>
      <c r="B2" s="165" t="s">
        <v>0</v>
      </c>
      <c r="C2" s="165"/>
      <c r="D2" s="165"/>
      <c r="E2" s="165"/>
      <c r="F2" s="30"/>
      <c r="G2" s="165" t="s">
        <v>17</v>
      </c>
      <c r="H2" s="165"/>
      <c r="I2" s="165"/>
      <c r="J2" s="26"/>
    </row>
    <row r="3" spans="1:10" ht="14.25" x14ac:dyDescent="0.2">
      <c r="A3" s="26" t="s">
        <v>61</v>
      </c>
      <c r="B3" s="28" t="s">
        <v>8</v>
      </c>
      <c r="C3" s="32"/>
      <c r="D3" s="32"/>
      <c r="E3" s="32"/>
      <c r="F3" s="32"/>
      <c r="G3" s="32"/>
      <c r="H3" s="32"/>
      <c r="I3" s="32"/>
      <c r="J3" s="28" t="s">
        <v>26</v>
      </c>
    </row>
    <row r="4" spans="1:10" ht="14.25" x14ac:dyDescent="0.2">
      <c r="A4" s="33" t="s">
        <v>62</v>
      </c>
      <c r="B4" s="35" t="s">
        <v>25</v>
      </c>
      <c r="C4" s="35" t="s">
        <v>1</v>
      </c>
      <c r="D4" s="35" t="s">
        <v>2</v>
      </c>
      <c r="E4" s="37" t="s">
        <v>24</v>
      </c>
      <c r="F4" s="36"/>
      <c r="G4" s="35" t="s">
        <v>27</v>
      </c>
      <c r="H4" s="35" t="s">
        <v>23</v>
      </c>
      <c r="I4" s="35" t="s">
        <v>24</v>
      </c>
      <c r="J4" s="35" t="s">
        <v>71</v>
      </c>
    </row>
    <row r="5" spans="1:10" ht="14.25" x14ac:dyDescent="0.2">
      <c r="A5" s="26"/>
      <c r="B5" s="166" t="s">
        <v>77</v>
      </c>
      <c r="C5" s="166"/>
      <c r="D5" s="166"/>
      <c r="E5" s="166"/>
      <c r="F5" s="166"/>
      <c r="G5" s="166"/>
      <c r="H5" s="166"/>
      <c r="I5" s="166"/>
      <c r="J5" s="166"/>
    </row>
    <row r="6" spans="1:10" ht="14.25" x14ac:dyDescent="0.2">
      <c r="A6" s="26" t="s">
        <v>114</v>
      </c>
      <c r="B6" s="71">
        <f>B11</f>
        <v>402.01499999999999</v>
      </c>
      <c r="C6" s="72">
        <f>C23</f>
        <v>51100.43</v>
      </c>
      <c r="D6" s="72">
        <f>D23</f>
        <v>639.45289700599983</v>
      </c>
      <c r="E6" s="44">
        <f>E23</f>
        <v>52141.897897005998</v>
      </c>
      <c r="F6" s="72"/>
      <c r="G6" s="72">
        <f>G23</f>
        <v>37966.877728954991</v>
      </c>
      <c r="H6" s="72">
        <f>H23</f>
        <v>13833.684168051001</v>
      </c>
      <c r="I6" s="72">
        <f>I23</f>
        <v>51800.561897005995</v>
      </c>
      <c r="J6" s="72">
        <f>E6-I6</f>
        <v>341.33600000000297</v>
      </c>
    </row>
    <row r="7" spans="1:10" ht="16.5" x14ac:dyDescent="0.2">
      <c r="A7" s="26" t="s">
        <v>117</v>
      </c>
      <c r="B7" s="71">
        <f>J6</f>
        <v>341.33600000000297</v>
      </c>
      <c r="C7" s="72">
        <v>50603.663999999997</v>
      </c>
      <c r="D7" s="72">
        <v>805</v>
      </c>
      <c r="E7" s="44">
        <f>SUM(B7:D7)</f>
        <v>51750</v>
      </c>
      <c r="F7" s="72"/>
      <c r="G7" s="72">
        <f>I7-H7</f>
        <v>37450</v>
      </c>
      <c r="H7" s="72">
        <v>13900</v>
      </c>
      <c r="I7" s="72">
        <f>E7-J7</f>
        <v>51350</v>
      </c>
      <c r="J7" s="72">
        <v>400</v>
      </c>
    </row>
    <row r="8" spans="1:10" ht="16.5" x14ac:dyDescent="0.2">
      <c r="A8" s="26" t="s">
        <v>147</v>
      </c>
      <c r="B8" s="71">
        <f>J7</f>
        <v>400</v>
      </c>
      <c r="C8" s="72">
        <v>51650</v>
      </c>
      <c r="D8" s="72">
        <v>450</v>
      </c>
      <c r="E8" s="44">
        <f>SUM(B8:D8)</f>
        <v>52500</v>
      </c>
      <c r="F8" s="72"/>
      <c r="G8" s="72">
        <f>I8-H8</f>
        <v>37900</v>
      </c>
      <c r="H8" s="72">
        <v>14200</v>
      </c>
      <c r="I8" s="72">
        <f>E8-J8</f>
        <v>52100</v>
      </c>
      <c r="J8" s="72">
        <v>400</v>
      </c>
    </row>
    <row r="9" spans="1:10" ht="14.25" x14ac:dyDescent="0.2">
      <c r="A9" s="26"/>
      <c r="B9" s="73"/>
      <c r="C9" s="73"/>
      <c r="D9" s="73"/>
      <c r="E9" s="73"/>
      <c r="F9" s="73"/>
      <c r="G9" s="72"/>
      <c r="H9" s="73"/>
      <c r="I9" s="73"/>
      <c r="J9" s="73"/>
    </row>
    <row r="10" spans="1:10" ht="15" x14ac:dyDescent="0.25">
      <c r="A10" s="74" t="s">
        <v>114</v>
      </c>
      <c r="B10" s="75"/>
      <c r="C10" s="12"/>
      <c r="D10" s="12"/>
      <c r="E10" s="12"/>
      <c r="F10" s="12"/>
      <c r="G10" s="12"/>
      <c r="H10" s="12"/>
      <c r="I10" s="12"/>
      <c r="J10" s="12"/>
    </row>
    <row r="11" spans="1:10" ht="14.25" x14ac:dyDescent="0.2">
      <c r="A11" s="30" t="s">
        <v>45</v>
      </c>
      <c r="B11" s="75">
        <f>360.387+41.628</f>
        <v>402.01499999999999</v>
      </c>
      <c r="C11" s="12">
        <v>4381.8320000000003</v>
      </c>
      <c r="D11" s="12">
        <f>(43274*1.10231)/1000</f>
        <v>47.701362939999996</v>
      </c>
      <c r="E11" s="12">
        <f>SUM(B11:D11)</f>
        <v>4831.5483629400005</v>
      </c>
      <c r="F11" s="10"/>
      <c r="G11" s="9">
        <f t="shared" ref="G11:G22" si="0">I11-H11</f>
        <v>3335.8568790440004</v>
      </c>
      <c r="H11" s="12">
        <f>(1025421.6*1.10231)/1000</f>
        <v>1130.3324838959998</v>
      </c>
      <c r="I11" s="10">
        <f t="shared" ref="I11:I22" si="1">E11-J11</f>
        <v>4466.1893629400001</v>
      </c>
      <c r="J11" s="10">
        <v>365.35899999999998</v>
      </c>
    </row>
    <row r="12" spans="1:10" ht="14.25" x14ac:dyDescent="0.2">
      <c r="A12" s="30" t="s">
        <v>46</v>
      </c>
      <c r="B12" s="75">
        <f t="shared" ref="B12:B22" si="2">J11</f>
        <v>365.35899999999998</v>
      </c>
      <c r="C12" s="12">
        <v>4111.7719999999999</v>
      </c>
      <c r="D12" s="12">
        <f>(33004.7*1.10231)/1000</f>
        <v>36.381410856999999</v>
      </c>
      <c r="E12" s="12">
        <f t="shared" ref="E12:E18" si="3">SUM(B12:D12)</f>
        <v>4513.5124108570008</v>
      </c>
      <c r="F12" s="12"/>
      <c r="G12" s="9">
        <f t="shared" si="0"/>
        <v>2808.0372888130009</v>
      </c>
      <c r="H12" s="12">
        <f>(1123152.4*1.10231)/1000</f>
        <v>1238.0621220439998</v>
      </c>
      <c r="I12" s="10">
        <f t="shared" si="1"/>
        <v>4046.0994108570007</v>
      </c>
      <c r="J12" s="10">
        <v>467.41300000000001</v>
      </c>
    </row>
    <row r="13" spans="1:10" ht="14.25" x14ac:dyDescent="0.2">
      <c r="A13" s="30" t="s">
        <v>47</v>
      </c>
      <c r="B13" s="75">
        <f t="shared" si="2"/>
        <v>467.41300000000001</v>
      </c>
      <c r="C13" s="12">
        <v>4337.5720000000001</v>
      </c>
      <c r="D13" s="12">
        <f>(47624.6*1.10231)/1000</f>
        <v>52.497072825999993</v>
      </c>
      <c r="E13" s="12">
        <f t="shared" si="3"/>
        <v>4857.4820728260001</v>
      </c>
      <c r="F13" s="12"/>
      <c r="G13" s="9">
        <f t="shared" si="0"/>
        <v>3394.591402043</v>
      </c>
      <c r="H13" s="12">
        <f>(985039.3*1.10231)/1000</f>
        <v>1085.818670783</v>
      </c>
      <c r="I13" s="10">
        <f t="shared" si="1"/>
        <v>4480.410072826</v>
      </c>
      <c r="J13" s="10">
        <v>377.072</v>
      </c>
    </row>
    <row r="14" spans="1:10" ht="14.25" x14ac:dyDescent="0.2">
      <c r="A14" s="30" t="s">
        <v>48</v>
      </c>
      <c r="B14" s="75">
        <f t="shared" si="2"/>
        <v>377.072</v>
      </c>
      <c r="C14" s="12">
        <v>4425.7489999999998</v>
      </c>
      <c r="D14" s="12">
        <f>(55344*1.10231)/1000</f>
        <v>61.006244639999998</v>
      </c>
      <c r="E14" s="12">
        <f t="shared" si="3"/>
        <v>4863.8272446399997</v>
      </c>
      <c r="F14" s="12"/>
      <c r="G14" s="9">
        <f t="shared" si="0"/>
        <v>3443.2361162819998</v>
      </c>
      <c r="H14" s="12">
        <f>(975821.8*1.10231)/1000</f>
        <v>1075.6581283579999</v>
      </c>
      <c r="I14" s="10">
        <f t="shared" si="1"/>
        <v>4518.8942446399997</v>
      </c>
      <c r="J14" s="10">
        <v>344.93299999999999</v>
      </c>
    </row>
    <row r="15" spans="1:10" ht="14.25" x14ac:dyDescent="0.2">
      <c r="A15" s="30" t="s">
        <v>49</v>
      </c>
      <c r="B15" s="75">
        <f t="shared" si="2"/>
        <v>344.93299999999999</v>
      </c>
      <c r="C15" s="12">
        <v>4122.6279999999997</v>
      </c>
      <c r="D15" s="12">
        <f>(45646.7*1.10231)/1000</f>
        <v>50.316813876999994</v>
      </c>
      <c r="E15" s="12">
        <f t="shared" si="3"/>
        <v>4517.8778138769994</v>
      </c>
      <c r="F15" s="12"/>
      <c r="G15" s="9">
        <f t="shared" si="0"/>
        <v>2732.7443837479996</v>
      </c>
      <c r="H15" s="12">
        <f>(1218155.9*1.10231)/1000</f>
        <v>1342.7854301289997</v>
      </c>
      <c r="I15" s="10">
        <f t="shared" si="1"/>
        <v>4075.5298138769995</v>
      </c>
      <c r="J15" s="10">
        <v>442.34800000000001</v>
      </c>
    </row>
    <row r="16" spans="1:10" ht="14.25" x14ac:dyDescent="0.2">
      <c r="A16" s="30" t="s">
        <v>50</v>
      </c>
      <c r="B16" s="75">
        <f t="shared" si="2"/>
        <v>442.34800000000001</v>
      </c>
      <c r="C16" s="12">
        <v>4517.9129999999996</v>
      </c>
      <c r="D16" s="12">
        <f>(57701.5*1.10231)/1000</f>
        <v>63.604940464999991</v>
      </c>
      <c r="E16" s="12">
        <f t="shared" si="3"/>
        <v>5023.8659404649998</v>
      </c>
      <c r="F16" s="12"/>
      <c r="G16" s="9">
        <f t="shared" si="0"/>
        <v>3241.9729331999997</v>
      </c>
      <c r="H16" s="12">
        <f>(1239981.5*1.10231)/1000</f>
        <v>1366.8440072649998</v>
      </c>
      <c r="I16" s="10">
        <f t="shared" si="1"/>
        <v>4608.8169404649998</v>
      </c>
      <c r="J16" s="10">
        <v>415.04899999999998</v>
      </c>
    </row>
    <row r="17" spans="1:10" ht="14.25" x14ac:dyDescent="0.2">
      <c r="A17" s="30" t="s">
        <v>51</v>
      </c>
      <c r="B17" s="75">
        <f t="shared" si="2"/>
        <v>415.04899999999998</v>
      </c>
      <c r="C17" s="12">
        <v>4312.1769999999997</v>
      </c>
      <c r="D17" s="12">
        <f>(48315.4*1.10231)/1000</f>
        <v>53.258548574000002</v>
      </c>
      <c r="E17" s="12">
        <f t="shared" si="3"/>
        <v>4780.4845485739997</v>
      </c>
      <c r="F17" s="12"/>
      <c r="G17" s="9">
        <f t="shared" si="0"/>
        <v>3183.0079535909999</v>
      </c>
      <c r="H17" s="12">
        <f>(1098859.3*1.10231)/1000</f>
        <v>1211.2835949829998</v>
      </c>
      <c r="I17" s="10">
        <f t="shared" si="1"/>
        <v>4394.2915485739995</v>
      </c>
      <c r="J17" s="10">
        <v>386.19299999999998</v>
      </c>
    </row>
    <row r="18" spans="1:10" ht="14.25" x14ac:dyDescent="0.2">
      <c r="A18" s="30" t="s">
        <v>52</v>
      </c>
      <c r="B18" s="75">
        <f t="shared" si="2"/>
        <v>386.19299999999998</v>
      </c>
      <c r="C18" s="12">
        <v>4240.9799999999996</v>
      </c>
      <c r="D18" s="12">
        <f>(41067.2*1.10231)/1000</f>
        <v>45.268785231999992</v>
      </c>
      <c r="E18" s="12">
        <f t="shared" si="3"/>
        <v>4672.4417852319993</v>
      </c>
      <c r="F18" s="12"/>
      <c r="G18" s="9">
        <f t="shared" si="0"/>
        <v>3091.2519027089993</v>
      </c>
      <c r="H18" s="12">
        <f>(982793.3*1.10231)/1000</f>
        <v>1083.3428825230001</v>
      </c>
      <c r="I18" s="10">
        <f t="shared" si="1"/>
        <v>4174.5947852319996</v>
      </c>
      <c r="J18" s="10">
        <v>497.84699999999998</v>
      </c>
    </row>
    <row r="19" spans="1:10" ht="14.25" x14ac:dyDescent="0.2">
      <c r="A19" s="30" t="s">
        <v>53</v>
      </c>
      <c r="B19" s="75">
        <f t="shared" si="2"/>
        <v>497.84699999999998</v>
      </c>
      <c r="C19" s="12">
        <v>4167.4759999999997</v>
      </c>
      <c r="D19" s="12">
        <f>(36340.5*1.10231)/1000</f>
        <v>40.058496554999998</v>
      </c>
      <c r="E19" s="12">
        <f>SUM(B19:D19)</f>
        <v>4705.3814965549991</v>
      </c>
      <c r="F19" s="12"/>
      <c r="G19" s="9">
        <f t="shared" si="0"/>
        <v>3149.2991634139994</v>
      </c>
      <c r="H19" s="12">
        <f>(992261.1*1.10231)/1000</f>
        <v>1093.7793331409998</v>
      </c>
      <c r="I19" s="10">
        <f t="shared" si="1"/>
        <v>4243.0784965549992</v>
      </c>
      <c r="J19" s="10">
        <v>462.303</v>
      </c>
    </row>
    <row r="20" spans="1:10" ht="14.25" x14ac:dyDescent="0.2">
      <c r="A20" s="30" t="s">
        <v>55</v>
      </c>
      <c r="B20" s="75">
        <f t="shared" si="2"/>
        <v>462.303</v>
      </c>
      <c r="C20" s="12">
        <v>4361.17</v>
      </c>
      <c r="D20" s="12">
        <f>(52357*1.10231)/1000</f>
        <v>57.713644669999994</v>
      </c>
      <c r="E20" s="12">
        <f>SUM(B20:D20)</f>
        <v>4881.1866446699996</v>
      </c>
      <c r="F20" s="12"/>
      <c r="G20" s="9">
        <f t="shared" si="0"/>
        <v>3328.9380029640001</v>
      </c>
      <c r="H20" s="12">
        <f>(999472.6*1.10231)/1000</f>
        <v>1101.728641706</v>
      </c>
      <c r="I20" s="10">
        <f t="shared" si="1"/>
        <v>4430.6666446700001</v>
      </c>
      <c r="J20" s="10">
        <v>450.52</v>
      </c>
    </row>
    <row r="21" spans="1:10" ht="14.25" x14ac:dyDescent="0.2">
      <c r="A21" s="30" t="s">
        <v>56</v>
      </c>
      <c r="B21" s="75">
        <f t="shared" si="2"/>
        <v>450.52</v>
      </c>
      <c r="C21" s="12">
        <v>4111.7449999999999</v>
      </c>
      <c r="D21" s="12">
        <f>(54909.8*1.10231)/1000</f>
        <v>60.527621637999999</v>
      </c>
      <c r="E21" s="12">
        <f>SUM(B21:D21)</f>
        <v>4622.7926216379992</v>
      </c>
      <c r="F21" s="12"/>
      <c r="G21" s="9">
        <f t="shared" si="0"/>
        <v>3084.1046288009993</v>
      </c>
      <c r="H21" s="12">
        <f>(1013862.7*1.10231)/1000</f>
        <v>1117.5909928369999</v>
      </c>
      <c r="I21" s="10">
        <f t="shared" si="1"/>
        <v>4201.6956216379995</v>
      </c>
      <c r="J21" s="10">
        <v>421.09699999999998</v>
      </c>
    </row>
    <row r="22" spans="1:10" ht="14.25" x14ac:dyDescent="0.2">
      <c r="A22" s="30" t="s">
        <v>58</v>
      </c>
      <c r="B22" s="75">
        <f t="shared" si="2"/>
        <v>421.09699999999998</v>
      </c>
      <c r="C22" s="12">
        <v>4009.4160000000002</v>
      </c>
      <c r="D22" s="12">
        <f>(64517.2*1.10231)/1000</f>
        <v>71.117954731999987</v>
      </c>
      <c r="E22" s="12">
        <f>SUM(B22:D22)</f>
        <v>4501.6309547319997</v>
      </c>
      <c r="F22" s="12"/>
      <c r="G22" s="9">
        <f t="shared" si="0"/>
        <v>3173.8370743459996</v>
      </c>
      <c r="H22" s="12">
        <f>(894900.6*1.10231)/1000</f>
        <v>986.45788038599994</v>
      </c>
      <c r="I22" s="10">
        <f t="shared" si="1"/>
        <v>4160.2949547319995</v>
      </c>
      <c r="J22" s="10">
        <v>341.33600000000001</v>
      </c>
    </row>
    <row r="23" spans="1:10" ht="14.25" x14ac:dyDescent="0.2">
      <c r="A23" s="30" t="s">
        <v>3</v>
      </c>
      <c r="B23" s="75"/>
      <c r="C23" s="12">
        <f>SUM(C11:C22)</f>
        <v>51100.43</v>
      </c>
      <c r="D23" s="12">
        <f>SUM(D11:D22)</f>
        <v>639.45289700599983</v>
      </c>
      <c r="E23" s="12">
        <f>B11+C23+D23</f>
        <v>52141.897897005998</v>
      </c>
      <c r="F23" s="12"/>
      <c r="G23" s="9">
        <f>SUM(G11:G22)</f>
        <v>37966.877728954991</v>
      </c>
      <c r="H23" s="9">
        <f>SUM(H11:H22)</f>
        <v>13833.684168051001</v>
      </c>
      <c r="I23" s="10">
        <f>SUM(I11:I22)</f>
        <v>51800.561897005995</v>
      </c>
      <c r="J23" s="12"/>
    </row>
    <row r="24" spans="1:10" ht="14.25" x14ac:dyDescent="0.2">
      <c r="A24" s="30"/>
      <c r="B24" s="75"/>
      <c r="C24" s="12"/>
      <c r="D24" s="12"/>
      <c r="E24" s="12"/>
      <c r="F24" s="12"/>
      <c r="G24" s="12"/>
      <c r="H24" s="12"/>
      <c r="I24" s="12"/>
      <c r="J24" s="12"/>
    </row>
    <row r="25" spans="1:10" ht="15" x14ac:dyDescent="0.25">
      <c r="A25" s="74" t="s">
        <v>122</v>
      </c>
      <c r="B25" s="75"/>
      <c r="C25" s="12"/>
      <c r="D25" s="12"/>
      <c r="E25" s="12"/>
      <c r="F25" s="12"/>
      <c r="G25" s="12"/>
      <c r="H25" s="12"/>
      <c r="I25" s="12"/>
      <c r="J25" s="12"/>
    </row>
    <row r="26" spans="1:10" ht="14.25" x14ac:dyDescent="0.2">
      <c r="A26" s="30" t="s">
        <v>45</v>
      </c>
      <c r="B26" s="75">
        <f>J22</f>
        <v>341.33600000000001</v>
      </c>
      <c r="C26" s="12">
        <v>4615.5919999999996</v>
      </c>
      <c r="D26" s="12">
        <f>(63180.5*1.10231)/1000</f>
        <v>69.644496954999994</v>
      </c>
      <c r="E26" s="12">
        <f t="shared" ref="E26:E32" si="4">SUM(B26:D26)</f>
        <v>5026.5724969550001</v>
      </c>
      <c r="F26" s="10"/>
      <c r="G26" s="9">
        <f t="shared" ref="G26:G32" si="5">I26-H26</f>
        <v>3543.9302441150003</v>
      </c>
      <c r="H26" s="12">
        <f>(1005564*1.10231)/1000</f>
        <v>1108.44325284</v>
      </c>
      <c r="I26" s="10">
        <f t="shared" ref="I26:I32" si="6">E26-J26</f>
        <v>4652.3734969550005</v>
      </c>
      <c r="J26" s="10">
        <v>374.19900000000001</v>
      </c>
    </row>
    <row r="27" spans="1:10" ht="14.25" x14ac:dyDescent="0.2">
      <c r="A27" s="30" t="s">
        <v>46</v>
      </c>
      <c r="B27" s="75">
        <f t="shared" ref="B27:B32" si="7">J26</f>
        <v>374.19900000000001</v>
      </c>
      <c r="C27" s="12">
        <v>4516.2939999999999</v>
      </c>
      <c r="D27" s="12">
        <f>(61205.6*1.10231)/1000</f>
        <v>67.467544935999996</v>
      </c>
      <c r="E27" s="12">
        <f t="shared" si="4"/>
        <v>4957.9605449359997</v>
      </c>
      <c r="F27" s="10"/>
      <c r="G27" s="9">
        <f t="shared" si="5"/>
        <v>3223.2103220019999</v>
      </c>
      <c r="H27" s="12">
        <f>(1157871.4*1.10231)/1000</f>
        <v>1276.3332229339997</v>
      </c>
      <c r="I27" s="10">
        <f t="shared" si="6"/>
        <v>4499.5435449359993</v>
      </c>
      <c r="J27" s="10">
        <v>458.41699999999997</v>
      </c>
    </row>
    <row r="28" spans="1:10" ht="14.25" x14ac:dyDescent="0.2">
      <c r="A28" s="30" t="s">
        <v>47</v>
      </c>
      <c r="B28" s="75">
        <f t="shared" si="7"/>
        <v>458.41699999999997</v>
      </c>
      <c r="C28" s="12">
        <v>4540.9309999999996</v>
      </c>
      <c r="D28" s="12">
        <f>(58666.4*1.10231)/1000</f>
        <v>64.668559383999991</v>
      </c>
      <c r="E28" s="12">
        <f t="shared" si="4"/>
        <v>5064.0165593840002</v>
      </c>
      <c r="F28" s="10"/>
      <c r="G28" s="9">
        <f t="shared" si="5"/>
        <v>3257.6761174220001</v>
      </c>
      <c r="H28" s="12">
        <f>(1312650.2*1.10231)/1000</f>
        <v>1446.9474419619999</v>
      </c>
      <c r="I28" s="10">
        <f t="shared" si="6"/>
        <v>4704.6235593840001</v>
      </c>
      <c r="J28" s="10">
        <v>359.39299999999997</v>
      </c>
    </row>
    <row r="29" spans="1:10" ht="14.25" x14ac:dyDescent="0.2">
      <c r="A29" s="30" t="s">
        <v>48</v>
      </c>
      <c r="B29" s="75">
        <f t="shared" si="7"/>
        <v>359.39299999999997</v>
      </c>
      <c r="C29" s="12">
        <v>4665.652</v>
      </c>
      <c r="D29" s="12">
        <f>(62004.8*1.10231)/1000</f>
        <v>68.348511087999995</v>
      </c>
      <c r="E29" s="12">
        <f t="shared" si="4"/>
        <v>5093.3935110880002</v>
      </c>
      <c r="F29" s="10"/>
      <c r="G29" s="9">
        <f t="shared" si="5"/>
        <v>3080.2815676670002</v>
      </c>
      <c r="H29" s="12">
        <f>(1322049.1*1.10231)/1000</f>
        <v>1457.3079434209999</v>
      </c>
      <c r="I29" s="10">
        <f t="shared" si="6"/>
        <v>4537.5895110880001</v>
      </c>
      <c r="J29" s="10">
        <v>555.80399999999997</v>
      </c>
    </row>
    <row r="30" spans="1:10" ht="14.25" x14ac:dyDescent="0.2">
      <c r="A30" s="30" t="s">
        <v>49</v>
      </c>
      <c r="B30" s="75">
        <f t="shared" si="7"/>
        <v>555.80399999999997</v>
      </c>
      <c r="C30" s="12">
        <v>3918.6709999999998</v>
      </c>
      <c r="D30" s="12">
        <f>(60831.4*1.10231)/1000</f>
        <v>67.055060533999992</v>
      </c>
      <c r="E30" s="12">
        <f t="shared" si="4"/>
        <v>4541.5300605339999</v>
      </c>
      <c r="F30" s="10"/>
      <c r="G30" s="9">
        <f t="shared" si="5"/>
        <v>2640.8198255869997</v>
      </c>
      <c r="H30" s="12">
        <f>(1194443.7*1.10231)/1000</f>
        <v>1316.647234947</v>
      </c>
      <c r="I30" s="10">
        <f t="shared" si="6"/>
        <v>3957.4670605339998</v>
      </c>
      <c r="J30" s="10">
        <v>584.06299999999999</v>
      </c>
    </row>
    <row r="31" spans="1:10" ht="14.25" x14ac:dyDescent="0.2">
      <c r="A31" s="30" t="s">
        <v>50</v>
      </c>
      <c r="B31" s="75">
        <f t="shared" si="7"/>
        <v>584.06299999999999</v>
      </c>
      <c r="C31" s="12">
        <v>4476.5870000000004</v>
      </c>
      <c r="D31" s="12">
        <f>(66448.6*1.10231)/1000</f>
        <v>73.246956265999998</v>
      </c>
      <c r="E31" s="12">
        <f t="shared" si="4"/>
        <v>5133.8969562660004</v>
      </c>
      <c r="F31" s="10"/>
      <c r="G31" s="9">
        <f t="shared" si="5"/>
        <v>3387.3791584980008</v>
      </c>
      <c r="H31" s="12">
        <f>(1178232.8*1.10231)/1000</f>
        <v>1298.777797768</v>
      </c>
      <c r="I31" s="10">
        <f t="shared" si="6"/>
        <v>4686.1569562660006</v>
      </c>
      <c r="J31" s="10">
        <v>447.74</v>
      </c>
    </row>
    <row r="32" spans="1:10" ht="14.25" x14ac:dyDescent="0.2">
      <c r="A32" s="30" t="s">
        <v>51</v>
      </c>
      <c r="B32" s="75">
        <f t="shared" si="7"/>
        <v>447.74</v>
      </c>
      <c r="C32" s="12">
        <v>4044.7089999999998</v>
      </c>
      <c r="D32" s="12">
        <f>(61739.5*1.10231)/1000</f>
        <v>68.056068244999992</v>
      </c>
      <c r="E32" s="12">
        <f t="shared" si="4"/>
        <v>4560.5050682449992</v>
      </c>
      <c r="F32" s="10"/>
      <c r="G32" s="9">
        <f t="shared" si="5"/>
        <v>3050.7248173269991</v>
      </c>
      <c r="H32" s="12">
        <f>(959597.8*1.10231)/1000</f>
        <v>1057.774250918</v>
      </c>
      <c r="I32" s="10">
        <f t="shared" si="6"/>
        <v>4108.4990682449989</v>
      </c>
      <c r="J32" s="10">
        <v>452.00599999999997</v>
      </c>
    </row>
    <row r="33" spans="1:10" ht="14.25" x14ac:dyDescent="0.2">
      <c r="A33" s="30" t="s">
        <v>52</v>
      </c>
      <c r="B33" s="75">
        <f t="shared" ref="B33" si="8">J32</f>
        <v>452.00599999999997</v>
      </c>
      <c r="C33" s="12">
        <v>4122.884</v>
      </c>
      <c r="D33" s="12">
        <f>(59425.5*1.10231)/1000</f>
        <v>65.505322905</v>
      </c>
      <c r="E33" s="12">
        <f>SUM(B33:D33)</f>
        <v>4640.3953229050003</v>
      </c>
      <c r="F33" s="10"/>
      <c r="G33" s="9">
        <f t="shared" ref="G33:G36" si="9">I33-H33</f>
        <v>2948.6927628190006</v>
      </c>
      <c r="H33" s="12">
        <f>(952770.6*1.10231)/1000</f>
        <v>1050.2485600859998</v>
      </c>
      <c r="I33" s="10">
        <f>E33-J33</f>
        <v>3998.9413229050006</v>
      </c>
      <c r="J33" s="10">
        <v>641.45399999999995</v>
      </c>
    </row>
    <row r="34" spans="1:10" ht="14.25" x14ac:dyDescent="0.2">
      <c r="A34" s="30" t="s">
        <v>53</v>
      </c>
      <c r="B34" s="75">
        <f>J33</f>
        <v>641.45399999999995</v>
      </c>
      <c r="C34" s="12">
        <v>3833.951</v>
      </c>
      <c r="D34" s="12">
        <f>(57647.2*1.10231)/1000</f>
        <v>63.545085031999989</v>
      </c>
      <c r="E34" s="12">
        <f>SUM(B34:D34)</f>
        <v>4538.9500850320001</v>
      </c>
      <c r="F34" s="10"/>
      <c r="G34" s="9">
        <f t="shared" si="9"/>
        <v>3182.6439690309999</v>
      </c>
      <c r="H34" s="12">
        <f>(832167.1*1.10231)/1000</f>
        <v>917.30611600099996</v>
      </c>
      <c r="I34" s="10">
        <f>E34-J34</f>
        <v>4099.9500850320001</v>
      </c>
      <c r="J34" s="10">
        <v>439</v>
      </c>
    </row>
    <row r="35" spans="1:10" ht="14.25" x14ac:dyDescent="0.2">
      <c r="A35" s="30" t="s">
        <v>55</v>
      </c>
      <c r="B35" s="75">
        <f>J34</f>
        <v>439</v>
      </c>
      <c r="C35" s="12">
        <v>3966.4989999999998</v>
      </c>
      <c r="D35" s="12">
        <f>(80443.6*1.10231)/1000</f>
        <v>88.673784716</v>
      </c>
      <c r="E35" s="12">
        <f>SUM(B35:D35)</f>
        <v>4494.172784716</v>
      </c>
      <c r="F35" s="10"/>
      <c r="G35" s="9">
        <f t="shared" si="9"/>
        <v>2936.1778779750002</v>
      </c>
      <c r="H35" s="12">
        <f>(980821.1*1.10231)/1000</f>
        <v>1081.1689067409998</v>
      </c>
      <c r="I35" s="10">
        <f>E35-J35</f>
        <v>4017.346784716</v>
      </c>
      <c r="J35" s="10">
        <v>476.82600000000002</v>
      </c>
    </row>
    <row r="36" spans="1:10" ht="14.25" x14ac:dyDescent="0.2">
      <c r="A36" s="30" t="s">
        <v>56</v>
      </c>
      <c r="B36" s="75">
        <f>J35</f>
        <v>476.82600000000002</v>
      </c>
      <c r="C36" s="12">
        <v>3995.2939999999999</v>
      </c>
      <c r="D36" s="12">
        <f>(42840.9*1.10231)/1000</f>
        <v>47.223952478999998</v>
      </c>
      <c r="E36" s="12">
        <f>SUM(B36:D36)</f>
        <v>4519.3439524790001</v>
      </c>
      <c r="F36" s="10"/>
      <c r="G36" s="9">
        <f t="shared" si="9"/>
        <v>3177.8774938420006</v>
      </c>
      <c r="H36" s="12">
        <f>(869042.7*1.10231)/1000</f>
        <v>957.95445863699979</v>
      </c>
      <c r="I36" s="10">
        <f>E36-J36</f>
        <v>4135.8319524790004</v>
      </c>
      <c r="J36" s="10">
        <v>383.512</v>
      </c>
    </row>
    <row r="37" spans="1:10" ht="14.25" x14ac:dyDescent="0.2">
      <c r="A37" s="24" t="s">
        <v>123</v>
      </c>
      <c r="B37" s="76"/>
      <c r="C37" s="61">
        <f>SUM(C26:C36)</f>
        <v>46697.063999999991</v>
      </c>
      <c r="D37" s="61">
        <f>SUM(D26:D36)</f>
        <v>743.43534253999997</v>
      </c>
      <c r="E37" s="61">
        <f>B26+C37+D37</f>
        <v>47781.835342539991</v>
      </c>
      <c r="F37" s="61"/>
      <c r="G37" s="61">
        <f>SUM(G26:G36)</f>
        <v>34429.414156285005</v>
      </c>
      <c r="H37" s="61">
        <f>SUM(H26:H36)</f>
        <v>12968.909186255001</v>
      </c>
      <c r="I37" s="61">
        <f>SUM(I26:I36)</f>
        <v>47398.323342540003</v>
      </c>
      <c r="J37" s="61"/>
    </row>
    <row r="38" spans="1:10" ht="16.5" x14ac:dyDescent="0.2">
      <c r="A38" s="77" t="s">
        <v>116</v>
      </c>
      <c r="B38" s="26"/>
      <c r="C38" s="26"/>
      <c r="D38" s="26"/>
      <c r="E38" s="26"/>
      <c r="F38" s="26"/>
      <c r="G38" s="26"/>
      <c r="H38" s="26"/>
      <c r="I38" s="26"/>
      <c r="J38" s="26"/>
    </row>
    <row r="39" spans="1:10" ht="14.25" x14ac:dyDescent="0.2">
      <c r="A39" s="26" t="s">
        <v>91</v>
      </c>
      <c r="B39" s="26"/>
      <c r="C39" s="26"/>
      <c r="D39" s="26"/>
      <c r="E39" s="26"/>
      <c r="F39" s="26"/>
      <c r="G39" s="26"/>
      <c r="H39" s="26"/>
      <c r="I39" s="26"/>
      <c r="J39" s="26"/>
    </row>
    <row r="40" spans="1:10" ht="14.25" x14ac:dyDescent="0.2">
      <c r="A40" s="32" t="s">
        <v>18</v>
      </c>
      <c r="B40" s="66">
        <f ca="1">NOW()</f>
        <v>44482.587913078707</v>
      </c>
      <c r="C40" s="53"/>
      <c r="D40" s="45"/>
      <c r="E40" s="45"/>
      <c r="F40" s="45"/>
      <c r="G40" s="45"/>
      <c r="H40" s="45"/>
      <c r="I40" s="45"/>
      <c r="J40" s="45"/>
    </row>
    <row r="41" spans="1:10" x14ac:dyDescent="0.2">
      <c r="A41" s="78"/>
      <c r="B41" s="79"/>
      <c r="C41" s="80"/>
      <c r="D41" s="79"/>
      <c r="E41" s="79"/>
      <c r="F41" s="79"/>
      <c r="G41" s="79"/>
      <c r="H41" s="81"/>
      <c r="I41" s="79"/>
      <c r="J41" s="79"/>
    </row>
    <row r="42" spans="1:10" x14ac:dyDescent="0.2">
      <c r="A42" s="78"/>
      <c r="B42" s="79"/>
      <c r="C42" s="79"/>
      <c r="D42" s="79"/>
      <c r="E42" s="79"/>
      <c r="F42" s="79"/>
      <c r="G42" s="79"/>
      <c r="H42" s="79"/>
      <c r="I42" s="79"/>
      <c r="J42" s="79"/>
    </row>
    <row r="43" spans="1:10" x14ac:dyDescent="0.2">
      <c r="A43" s="78"/>
      <c r="B43" s="78"/>
      <c r="C43" s="78"/>
      <c r="D43" s="78"/>
      <c r="E43" s="78"/>
      <c r="F43" s="78"/>
      <c r="G43" s="78"/>
      <c r="H43" s="78"/>
      <c r="I43" s="78"/>
      <c r="J43" s="78"/>
    </row>
    <row r="44" spans="1:10" x14ac:dyDescent="0.2">
      <c r="A44" s="78"/>
      <c r="B44" s="78"/>
      <c r="C44" s="78"/>
      <c r="D44" s="78"/>
      <c r="E44" s="78"/>
      <c r="F44" s="78"/>
      <c r="G44" s="78"/>
      <c r="H44" s="78"/>
      <c r="I44" s="78"/>
      <c r="J44" s="78"/>
    </row>
  </sheetData>
  <mergeCells count="3">
    <mergeCell ref="G2:I2"/>
    <mergeCell ref="B5:J5"/>
    <mergeCell ref="B2:E2"/>
  </mergeCells>
  <phoneticPr fontId="11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M40"/>
  <sheetViews>
    <sheetView showGridLines="0" zoomScaleNormal="100" workbookViewId="0"/>
  </sheetViews>
  <sheetFormatPr defaultRowHeight="12.75" x14ac:dyDescent="0.2"/>
  <cols>
    <col min="1" max="1" width="14.5703125" style="25" customWidth="1"/>
    <col min="2" max="2" width="12.28515625" style="25" bestFit="1" customWidth="1"/>
    <col min="3" max="3" width="11.7109375" style="25" bestFit="1" customWidth="1"/>
    <col min="4" max="4" width="11" style="25" bestFit="1" customWidth="1"/>
    <col min="5" max="5" width="11.28515625" style="25" bestFit="1" customWidth="1"/>
    <col min="6" max="6" width="3.7109375" style="25" customWidth="1"/>
    <col min="7" max="7" width="11.5703125" style="25" bestFit="1" customWidth="1"/>
    <col min="8" max="8" width="10.7109375" style="25" customWidth="1"/>
    <col min="9" max="9" width="12.7109375" style="25" customWidth="1"/>
    <col min="10" max="10" width="10.28515625" style="25" bestFit="1" customWidth="1"/>
    <col min="11" max="11" width="11.5703125" style="25" bestFit="1" customWidth="1"/>
    <col min="12" max="12" width="10.28515625" style="25" bestFit="1" customWidth="1"/>
    <col min="13" max="16384" width="9.140625" style="25"/>
  </cols>
  <sheetData>
    <row r="1" spans="1:13" ht="14.25" x14ac:dyDescent="0.2">
      <c r="A1" s="24" t="s">
        <v>133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3" ht="14.25" x14ac:dyDescent="0.2">
      <c r="A2" s="26"/>
      <c r="B2" s="165" t="s">
        <v>0</v>
      </c>
      <c r="C2" s="165"/>
      <c r="D2" s="165"/>
      <c r="E2" s="165"/>
      <c r="F2" s="30"/>
      <c r="G2" s="165" t="s">
        <v>17</v>
      </c>
      <c r="H2" s="165"/>
      <c r="I2" s="165"/>
      <c r="J2" s="69"/>
      <c r="K2" s="69"/>
      <c r="L2" s="26"/>
    </row>
    <row r="3" spans="1:13" ht="14.25" x14ac:dyDescent="0.2">
      <c r="A3" s="26" t="s">
        <v>61</v>
      </c>
      <c r="B3" s="28" t="s">
        <v>28</v>
      </c>
      <c r="C3" s="47" t="s">
        <v>1</v>
      </c>
      <c r="D3" s="47" t="s">
        <v>29</v>
      </c>
      <c r="E3" s="47" t="s">
        <v>24</v>
      </c>
      <c r="F3" s="47"/>
      <c r="G3" s="69" t="s">
        <v>27</v>
      </c>
      <c r="H3" s="69"/>
      <c r="I3" s="69"/>
      <c r="J3" s="47" t="s">
        <v>31</v>
      </c>
      <c r="K3" s="47" t="s">
        <v>24</v>
      </c>
      <c r="L3" s="47" t="s">
        <v>26</v>
      </c>
    </row>
    <row r="4" spans="1:13" ht="16.5" x14ac:dyDescent="0.2">
      <c r="A4" s="33" t="s">
        <v>62</v>
      </c>
      <c r="B4" s="35" t="s">
        <v>25</v>
      </c>
      <c r="C4" s="36"/>
      <c r="D4" s="36"/>
      <c r="E4" s="36"/>
      <c r="F4" s="36"/>
      <c r="G4" s="35" t="s">
        <v>3</v>
      </c>
      <c r="H4" s="35" t="s">
        <v>152</v>
      </c>
      <c r="I4" s="35" t="s">
        <v>159</v>
      </c>
      <c r="J4" s="36"/>
      <c r="K4" s="36"/>
      <c r="L4" s="47" t="s">
        <v>71</v>
      </c>
    </row>
    <row r="5" spans="1:13" ht="14.25" x14ac:dyDescent="0.2">
      <c r="A5" s="26"/>
      <c r="B5" s="167" t="s">
        <v>79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</row>
    <row r="6" spans="1:13" ht="14.25" x14ac:dyDescent="0.2">
      <c r="A6" s="26" t="s">
        <v>114</v>
      </c>
      <c r="B6" s="73">
        <f>B11</f>
        <v>1775.316</v>
      </c>
      <c r="C6" s="73">
        <f>C23</f>
        <v>24911.120999999996</v>
      </c>
      <c r="D6" s="73">
        <f>D23</f>
        <v>320.33400168419996</v>
      </c>
      <c r="E6" s="73">
        <f>E23</f>
        <v>27006.771001684196</v>
      </c>
      <c r="F6" s="73"/>
      <c r="G6" s="73">
        <f>G23</f>
        <v>22317.405787813401</v>
      </c>
      <c r="H6" s="44">
        <f>H23</f>
        <v>8657.8000000000011</v>
      </c>
      <c r="I6" s="44">
        <f>I23</f>
        <v>13659.605787813402</v>
      </c>
      <c r="J6" s="73">
        <f>J23</f>
        <v>2836.6902138707997</v>
      </c>
      <c r="K6" s="73">
        <f>K23</f>
        <v>25154.0960016842</v>
      </c>
      <c r="L6" s="73">
        <f>L22</f>
        <v>1852.675</v>
      </c>
      <c r="M6" s="147"/>
    </row>
    <row r="7" spans="1:13" ht="16.5" x14ac:dyDescent="0.2">
      <c r="A7" s="26" t="s">
        <v>117</v>
      </c>
      <c r="B7" s="73">
        <f>L6</f>
        <v>1852.675</v>
      </c>
      <c r="C7" s="73">
        <v>24980</v>
      </c>
      <c r="D7" s="73">
        <v>295</v>
      </c>
      <c r="E7" s="73">
        <f>SUM(B7:D7)</f>
        <v>27127.674999999999</v>
      </c>
      <c r="F7" s="73"/>
      <c r="G7" s="73">
        <f>K7-J7</f>
        <v>23350</v>
      </c>
      <c r="H7" s="44">
        <v>8800</v>
      </c>
      <c r="I7" s="44">
        <f>G7-H7</f>
        <v>14550</v>
      </c>
      <c r="J7" s="73">
        <v>1715</v>
      </c>
      <c r="K7" s="73">
        <f>E7-L7</f>
        <v>25065</v>
      </c>
      <c r="L7" s="73">
        <v>2062.6749999999993</v>
      </c>
      <c r="M7" s="145"/>
    </row>
    <row r="8" spans="1:13" ht="16.5" x14ac:dyDescent="0.2">
      <c r="A8" s="26" t="s">
        <v>147</v>
      </c>
      <c r="B8" s="73">
        <f>L7</f>
        <v>2062.6749999999993</v>
      </c>
      <c r="C8" s="73">
        <v>25535</v>
      </c>
      <c r="D8" s="73">
        <v>450</v>
      </c>
      <c r="E8" s="73">
        <f>SUM(B8:D8)</f>
        <v>28047.674999999999</v>
      </c>
      <c r="F8" s="73"/>
      <c r="G8" s="73">
        <f>K8-J8</f>
        <v>25000</v>
      </c>
      <c r="H8" s="44">
        <v>11000</v>
      </c>
      <c r="I8" s="44">
        <f>G8-H8</f>
        <v>14000</v>
      </c>
      <c r="J8" s="73">
        <v>1250</v>
      </c>
      <c r="K8" s="73">
        <f>E8-L8</f>
        <v>26250</v>
      </c>
      <c r="L8" s="73">
        <v>1797.6749999999993</v>
      </c>
    </row>
    <row r="9" spans="1:13" ht="14.25" x14ac:dyDescent="0.2">
      <c r="A9" s="26"/>
      <c r="B9" s="73"/>
      <c r="C9" s="73"/>
      <c r="D9" s="73"/>
      <c r="E9" s="73"/>
      <c r="F9" s="73"/>
      <c r="G9" s="73"/>
      <c r="H9" s="73"/>
      <c r="I9" s="146"/>
      <c r="J9" s="73"/>
      <c r="K9" s="73"/>
      <c r="L9" s="73"/>
    </row>
    <row r="10" spans="1:13" ht="15" x14ac:dyDescent="0.25">
      <c r="A10" s="48" t="s">
        <v>114</v>
      </c>
      <c r="B10" s="82"/>
      <c r="C10" s="12"/>
      <c r="D10" s="12"/>
      <c r="E10" s="12"/>
      <c r="F10" s="10"/>
      <c r="G10" s="12"/>
      <c r="H10" s="12"/>
      <c r="I10" s="12"/>
      <c r="J10" s="12"/>
      <c r="K10" s="12"/>
      <c r="L10" s="10"/>
    </row>
    <row r="11" spans="1:13" ht="14.25" x14ac:dyDescent="0.2">
      <c r="A11" s="30" t="s">
        <v>45</v>
      </c>
      <c r="B11" s="10">
        <f>1400.569+374.747</f>
        <v>1775.316</v>
      </c>
      <c r="C11" s="12">
        <v>2150</v>
      </c>
      <c r="D11" s="12">
        <f>(13830.4*2204.622)/1000000</f>
        <v>30.490804108799999</v>
      </c>
      <c r="E11" s="12">
        <f t="shared" ref="E11:E18" si="0">SUM(B11:D11)</f>
        <v>3955.8068041088</v>
      </c>
      <c r="F11" s="10"/>
      <c r="G11" s="10">
        <f t="shared" ref="G11:G22" si="1">K11-J11</f>
        <v>1882.1233921921998</v>
      </c>
      <c r="H11" s="12">
        <v>624.20000000000005</v>
      </c>
      <c r="I11" s="12">
        <f t="shared" ref="I11:I22" si="2">G11-H11</f>
        <v>1257.9233921921998</v>
      </c>
      <c r="J11" s="12">
        <f>(114615.3*2204.622)/1000000</f>
        <v>252.68341191659999</v>
      </c>
      <c r="K11" s="12">
        <f t="shared" ref="K11:K22" si="3">E11-L11</f>
        <v>2134.8068041088</v>
      </c>
      <c r="L11" s="10">
        <v>1821</v>
      </c>
    </row>
    <row r="12" spans="1:13" ht="14.25" x14ac:dyDescent="0.2">
      <c r="A12" s="30" t="s">
        <v>46</v>
      </c>
      <c r="B12" s="10">
        <f t="shared" ref="B12:B22" si="4">L11</f>
        <v>1821</v>
      </c>
      <c r="C12" s="12">
        <v>1999.6</v>
      </c>
      <c r="D12" s="12">
        <f>(11144.5*2204.622)/1000000</f>
        <v>24.569409878999998</v>
      </c>
      <c r="E12" s="12">
        <f t="shared" si="0"/>
        <v>3845.1694098789999</v>
      </c>
      <c r="F12" s="10"/>
      <c r="G12" s="10">
        <f t="shared" si="1"/>
        <v>1707.0745634139998</v>
      </c>
      <c r="H12" s="12">
        <v>593.20000000000005</v>
      </c>
      <c r="I12" s="12">
        <f t="shared" si="2"/>
        <v>1113.8745634139998</v>
      </c>
      <c r="J12" s="12">
        <f>(116907.5*2204.622)/1000000</f>
        <v>257.73684646499999</v>
      </c>
      <c r="K12" s="12">
        <f t="shared" si="3"/>
        <v>1964.8114098789999</v>
      </c>
      <c r="L12" s="10">
        <v>1880.3579999999999</v>
      </c>
    </row>
    <row r="13" spans="1:13" ht="14.25" x14ac:dyDescent="0.2">
      <c r="A13" s="30" t="s">
        <v>47</v>
      </c>
      <c r="B13" s="10">
        <f t="shared" si="4"/>
        <v>1880.3579999999999</v>
      </c>
      <c r="C13" s="12">
        <v>2110.9</v>
      </c>
      <c r="D13" s="12">
        <f>(16050.2*2204.622)/1000000</f>
        <v>35.384624024399997</v>
      </c>
      <c r="E13" s="12">
        <f t="shared" si="0"/>
        <v>4026.6426240244</v>
      </c>
      <c r="F13" s="10"/>
      <c r="G13" s="10">
        <f t="shared" si="1"/>
        <v>1707.7186442402001</v>
      </c>
      <c r="H13" s="12">
        <v>607.70000000000005</v>
      </c>
      <c r="I13" s="12">
        <f t="shared" si="2"/>
        <v>1100.0186442402</v>
      </c>
      <c r="J13" s="12">
        <f>(83851.1*2204.622)/1000000</f>
        <v>184.85997978420002</v>
      </c>
      <c r="K13" s="12">
        <f t="shared" si="3"/>
        <v>1892.5786240244001</v>
      </c>
      <c r="L13" s="10">
        <v>2134.0639999999999</v>
      </c>
    </row>
    <row r="14" spans="1:13" ht="14.25" x14ac:dyDescent="0.2">
      <c r="A14" s="30" t="s">
        <v>48</v>
      </c>
      <c r="B14" s="10">
        <f t="shared" si="4"/>
        <v>2134.0639999999999</v>
      </c>
      <c r="C14" s="12">
        <v>2154.4</v>
      </c>
      <c r="D14" s="12">
        <f>(14802*2204.622)/1000000</f>
        <v>32.632814843999995</v>
      </c>
      <c r="E14" s="12">
        <f t="shared" si="0"/>
        <v>4321.0968148439997</v>
      </c>
      <c r="F14" s="10"/>
      <c r="G14" s="10">
        <f t="shared" si="1"/>
        <v>1839.9018871715998</v>
      </c>
      <c r="H14" s="12">
        <v>587.70000000000005</v>
      </c>
      <c r="I14" s="12">
        <f t="shared" si="2"/>
        <v>1252.2018871715998</v>
      </c>
      <c r="J14" s="12">
        <f>(56834.2*2204.622)/1000000</f>
        <v>125.29792767239998</v>
      </c>
      <c r="K14" s="12">
        <f t="shared" si="3"/>
        <v>1965.1998148439998</v>
      </c>
      <c r="L14" s="10">
        <v>2355.8969999999999</v>
      </c>
    </row>
    <row r="15" spans="1:13" ht="14.25" x14ac:dyDescent="0.2">
      <c r="A15" s="30" t="s">
        <v>49</v>
      </c>
      <c r="B15" s="10">
        <f t="shared" si="4"/>
        <v>2355.8969999999999</v>
      </c>
      <c r="C15" s="12">
        <v>1999.5</v>
      </c>
      <c r="D15" s="12">
        <f>(12724.7*2204.622)/1000000</f>
        <v>28.053153563399999</v>
      </c>
      <c r="E15" s="12">
        <f t="shared" si="0"/>
        <v>4383.4501535633999</v>
      </c>
      <c r="F15" s="10"/>
      <c r="G15" s="10">
        <f t="shared" si="1"/>
        <v>1610.9762973402003</v>
      </c>
      <c r="H15" s="12">
        <v>641.4</v>
      </c>
      <c r="I15" s="12">
        <f t="shared" si="2"/>
        <v>969.57629734020031</v>
      </c>
      <c r="J15" s="12">
        <f>(179475.6*2204.622)/1000000</f>
        <v>395.67585622319996</v>
      </c>
      <c r="K15" s="12">
        <f t="shared" si="3"/>
        <v>2006.6521535634001</v>
      </c>
      <c r="L15" s="10">
        <v>2376.7979999999998</v>
      </c>
    </row>
    <row r="16" spans="1:13" ht="14.25" x14ac:dyDescent="0.2">
      <c r="A16" s="30" t="s">
        <v>50</v>
      </c>
      <c r="B16" s="10">
        <f t="shared" si="4"/>
        <v>2376.7979999999998</v>
      </c>
      <c r="C16" s="12">
        <v>2201.1</v>
      </c>
      <c r="D16" s="12">
        <f>(10783.5*2204.622)/1000000</f>
        <v>23.773541336999997</v>
      </c>
      <c r="E16" s="12">
        <f t="shared" si="0"/>
        <v>4601.6715413369993</v>
      </c>
      <c r="F16" s="10"/>
      <c r="G16" s="10">
        <f t="shared" si="1"/>
        <v>1954.1939273881994</v>
      </c>
      <c r="H16" s="12">
        <v>722.7</v>
      </c>
      <c r="I16" s="12">
        <f t="shared" si="2"/>
        <v>1231.4939273881994</v>
      </c>
      <c r="J16" s="12">
        <f>(145550.4*2204.622)/1000000</f>
        <v>320.88361394879996</v>
      </c>
      <c r="K16" s="12">
        <f t="shared" si="3"/>
        <v>2275.0775413369993</v>
      </c>
      <c r="L16" s="10">
        <v>2326.5940000000001</v>
      </c>
    </row>
    <row r="17" spans="1:13" ht="14.25" x14ac:dyDescent="0.2">
      <c r="A17" s="30" t="s">
        <v>51</v>
      </c>
      <c r="B17" s="10">
        <f t="shared" si="4"/>
        <v>2326.5940000000001</v>
      </c>
      <c r="C17" s="12">
        <v>2099.5</v>
      </c>
      <c r="D17" s="12">
        <f>(11118.8*2204.622)/1000000</f>
        <v>24.512751093599999</v>
      </c>
      <c r="E17" s="12">
        <f t="shared" si="0"/>
        <v>4450.6067510936</v>
      </c>
      <c r="F17" s="10"/>
      <c r="G17" s="10">
        <f t="shared" si="1"/>
        <v>1619.8108063502</v>
      </c>
      <c r="H17" s="12">
        <v>738.5</v>
      </c>
      <c r="I17" s="12">
        <f t="shared" si="2"/>
        <v>881.31080635019998</v>
      </c>
      <c r="J17" s="12">
        <f>(104414.7*2204.622)/1000000</f>
        <v>230.19494474339999</v>
      </c>
      <c r="K17" s="12">
        <f t="shared" si="3"/>
        <v>1850.0057510935999</v>
      </c>
      <c r="L17" s="10">
        <v>2600.6010000000001</v>
      </c>
    </row>
    <row r="18" spans="1:13" ht="14.25" x14ac:dyDescent="0.2">
      <c r="A18" s="30" t="s">
        <v>52</v>
      </c>
      <c r="B18" s="10">
        <f t="shared" si="4"/>
        <v>2600.6010000000001</v>
      </c>
      <c r="C18" s="12">
        <v>2057.6</v>
      </c>
      <c r="D18" s="12">
        <f>(11040.1*2204.622)/1000000</f>
        <v>24.3392473422</v>
      </c>
      <c r="E18" s="12">
        <f t="shared" si="0"/>
        <v>4682.5402473422</v>
      </c>
      <c r="F18" s="10"/>
      <c r="G18" s="10">
        <f t="shared" si="1"/>
        <v>1879.3007666992</v>
      </c>
      <c r="H18" s="12">
        <v>872</v>
      </c>
      <c r="I18" s="12">
        <f t="shared" si="2"/>
        <v>1007.3007666992</v>
      </c>
      <c r="J18" s="12">
        <f>(162306.5*2204.622)/1000000</f>
        <v>357.82448064299996</v>
      </c>
      <c r="K18" s="12">
        <f t="shared" si="3"/>
        <v>2237.1252473422001</v>
      </c>
      <c r="L18" s="10">
        <v>2445.415</v>
      </c>
    </row>
    <row r="19" spans="1:13" ht="14.25" x14ac:dyDescent="0.2">
      <c r="A19" s="30" t="s">
        <v>53</v>
      </c>
      <c r="B19" s="10">
        <f t="shared" si="4"/>
        <v>2445.415</v>
      </c>
      <c r="C19" s="12">
        <v>2035.3</v>
      </c>
      <c r="D19" s="12">
        <f>(11446.3*2204.622)/1000000</f>
        <v>25.234764798599997</v>
      </c>
      <c r="E19" s="12">
        <f>SUM(B19:D19)</f>
        <v>4505.9497647986</v>
      </c>
      <c r="F19" s="10"/>
      <c r="G19" s="10">
        <f t="shared" si="1"/>
        <v>2067.4719706057999</v>
      </c>
      <c r="H19" s="12">
        <v>813.7</v>
      </c>
      <c r="I19" s="12">
        <f t="shared" si="2"/>
        <v>1253.7719706057999</v>
      </c>
      <c r="J19" s="12">
        <f>(76052.4*2204.622)/1000000</f>
        <v>167.66679419279998</v>
      </c>
      <c r="K19" s="12">
        <f t="shared" si="3"/>
        <v>2235.1387647985998</v>
      </c>
      <c r="L19" s="10">
        <v>2270.8110000000001</v>
      </c>
    </row>
    <row r="20" spans="1:13" ht="14.25" x14ac:dyDescent="0.2">
      <c r="A20" s="30" t="s">
        <v>55</v>
      </c>
      <c r="B20" s="10">
        <f t="shared" si="4"/>
        <v>2270.8110000000001</v>
      </c>
      <c r="C20" s="12">
        <v>2122.8000000000002</v>
      </c>
      <c r="D20" s="12">
        <f>(12544.2*2204.622)/1000000</f>
        <v>27.655219292399998</v>
      </c>
      <c r="E20" s="12">
        <f>SUM(B20:D20)</f>
        <v>4421.2662192924008</v>
      </c>
      <c r="F20" s="10"/>
      <c r="G20" s="10">
        <f t="shared" si="1"/>
        <v>2133.4107486692005</v>
      </c>
      <c r="H20" s="12">
        <v>841.5</v>
      </c>
      <c r="I20" s="12">
        <f t="shared" si="2"/>
        <v>1291.9107486692005</v>
      </c>
      <c r="J20" s="12">
        <f>(74675.6*2204.622)/1000000</f>
        <v>164.63147062319999</v>
      </c>
      <c r="K20" s="12">
        <f t="shared" si="3"/>
        <v>2298.0422192924007</v>
      </c>
      <c r="L20" s="10">
        <v>2123.2240000000002</v>
      </c>
    </row>
    <row r="21" spans="1:13" ht="14.25" x14ac:dyDescent="0.2">
      <c r="A21" s="30" t="s">
        <v>56</v>
      </c>
      <c r="B21" s="10">
        <f t="shared" si="4"/>
        <v>2123.2240000000002</v>
      </c>
      <c r="C21" s="12">
        <v>2012.8</v>
      </c>
      <c r="D21" s="12">
        <f>(10365.4*2204.622)/1000000</f>
        <v>22.851788878799997</v>
      </c>
      <c r="E21" s="12">
        <f>SUM(B21:D21)</f>
        <v>4158.8757888788004</v>
      </c>
      <c r="F21" s="10"/>
      <c r="G21" s="10">
        <f t="shared" si="1"/>
        <v>2013.3924589964006</v>
      </c>
      <c r="H21" s="12">
        <v>812</v>
      </c>
      <c r="I21" s="12">
        <f t="shared" si="2"/>
        <v>1201.3924589964006</v>
      </c>
      <c r="J21" s="12">
        <f>(90889.2*2204.622)/1000000</f>
        <v>200.37632988239997</v>
      </c>
      <c r="K21" s="12">
        <f t="shared" si="3"/>
        <v>2213.7687888788005</v>
      </c>
      <c r="L21" s="10">
        <v>1945.107</v>
      </c>
    </row>
    <row r="22" spans="1:13" ht="14.25" x14ac:dyDescent="0.2">
      <c r="A22" s="30" t="s">
        <v>58</v>
      </c>
      <c r="B22" s="10">
        <f t="shared" si="4"/>
        <v>1945.107</v>
      </c>
      <c r="C22" s="12">
        <v>1967.6210000000001</v>
      </c>
      <c r="D22" s="12">
        <f>(9451*2204.622)/1000000</f>
        <v>20.835882521999999</v>
      </c>
      <c r="E22" s="12">
        <f>SUM(B22:D22)</f>
        <v>3933.5638825219999</v>
      </c>
      <c r="F22" s="10"/>
      <c r="G22" s="10">
        <f t="shared" si="1"/>
        <v>1902.0303247462002</v>
      </c>
      <c r="H22" s="12">
        <v>803.2</v>
      </c>
      <c r="I22" s="12">
        <f t="shared" si="2"/>
        <v>1098.8303247462002</v>
      </c>
      <c r="J22" s="12">
        <f>(81128.9*2204.622)/1000000</f>
        <v>178.85855777579997</v>
      </c>
      <c r="K22" s="12">
        <f t="shared" si="3"/>
        <v>2080.8888825220001</v>
      </c>
      <c r="L22" s="10">
        <v>1852.675</v>
      </c>
      <c r="M22" s="56"/>
    </row>
    <row r="23" spans="1:13" ht="14.25" x14ac:dyDescent="0.2">
      <c r="A23" s="30" t="s">
        <v>3</v>
      </c>
      <c r="B23" s="10"/>
      <c r="C23" s="12">
        <f>SUM(C11:C22)</f>
        <v>24911.120999999996</v>
      </c>
      <c r="D23" s="12">
        <f t="shared" ref="D23:K23" si="5">SUM(D11:D22)</f>
        <v>320.33400168419996</v>
      </c>
      <c r="E23" s="12">
        <f>B11+C23+D23</f>
        <v>27006.771001684196</v>
      </c>
      <c r="F23" s="12"/>
      <c r="G23" s="12">
        <f t="shared" si="5"/>
        <v>22317.405787813401</v>
      </c>
      <c r="H23" s="12">
        <f t="shared" si="5"/>
        <v>8657.8000000000011</v>
      </c>
      <c r="I23" s="12">
        <f t="shared" si="5"/>
        <v>13659.605787813402</v>
      </c>
      <c r="J23" s="12">
        <f t="shared" si="5"/>
        <v>2836.6902138707997</v>
      </c>
      <c r="K23" s="12">
        <f t="shared" si="5"/>
        <v>25154.0960016842</v>
      </c>
      <c r="L23" s="10"/>
    </row>
    <row r="24" spans="1:13" ht="14.25" x14ac:dyDescent="0.2">
      <c r="A24" s="30"/>
      <c r="B24" s="82"/>
      <c r="C24" s="12"/>
      <c r="D24" s="154"/>
      <c r="E24" s="12"/>
      <c r="F24" s="10"/>
      <c r="G24" s="12"/>
      <c r="H24" s="12"/>
      <c r="I24" s="12"/>
      <c r="J24" s="12"/>
      <c r="K24" s="12"/>
      <c r="L24" s="10"/>
    </row>
    <row r="25" spans="1:13" ht="15" x14ac:dyDescent="0.25">
      <c r="A25" s="48" t="s">
        <v>122</v>
      </c>
      <c r="B25" s="82"/>
      <c r="C25" s="12"/>
      <c r="D25" s="12"/>
      <c r="E25" s="12"/>
      <c r="F25" s="10"/>
      <c r="G25" s="12"/>
      <c r="H25" s="12"/>
      <c r="I25" s="12"/>
      <c r="J25" s="12"/>
      <c r="K25" s="12"/>
      <c r="L25" s="10"/>
    </row>
    <row r="26" spans="1:13" ht="14.25" x14ac:dyDescent="0.2">
      <c r="A26" s="30" t="s">
        <v>45</v>
      </c>
      <c r="B26" s="10">
        <f>L22</f>
        <v>1852.675</v>
      </c>
      <c r="C26" s="12">
        <v>2282.471</v>
      </c>
      <c r="D26" s="12">
        <f>(9292.2*2204.622)/1000000</f>
        <v>20.485788548399999</v>
      </c>
      <c r="E26" s="12">
        <f t="shared" ref="E26:E32" si="6">SUM(B26:D26)</f>
        <v>4155.6317885483995</v>
      </c>
      <c r="F26" s="10"/>
      <c r="G26" s="10">
        <v>2003.5</v>
      </c>
      <c r="H26" s="12">
        <v>790</v>
      </c>
      <c r="I26" s="12">
        <v>1208.5</v>
      </c>
      <c r="J26" s="12">
        <f>(84043.5*2204.622)/1000000</f>
        <v>185.28414905699998</v>
      </c>
      <c r="K26" s="12">
        <f t="shared" ref="K26:K32" si="7">E26-L26</f>
        <v>2187.6207885483996</v>
      </c>
      <c r="L26" s="10">
        <v>1968.011</v>
      </c>
    </row>
    <row r="27" spans="1:13" ht="14.25" x14ac:dyDescent="0.2">
      <c r="A27" s="30" t="s">
        <v>46</v>
      </c>
      <c r="B27" s="10">
        <f t="shared" ref="B27:B32" si="8">L26</f>
        <v>1968.011</v>
      </c>
      <c r="C27" s="12">
        <v>2206.7919999999999</v>
      </c>
      <c r="D27" s="12">
        <f>(9620.6*2204.622)/1000000</f>
        <v>21.2097864132</v>
      </c>
      <c r="E27" s="12">
        <f t="shared" si="6"/>
        <v>4196.0127864132</v>
      </c>
      <c r="F27" s="10"/>
      <c r="G27" s="10">
        <v>1901.6</v>
      </c>
      <c r="H27" s="12">
        <v>750</v>
      </c>
      <c r="I27" s="12">
        <v>1149.5999999999999</v>
      </c>
      <c r="J27" s="12">
        <f>(80375.8*2204.622)/1000000</f>
        <v>177.19825694760002</v>
      </c>
      <c r="K27" s="12">
        <f t="shared" si="7"/>
        <v>2078.9157864131998</v>
      </c>
      <c r="L27" s="10">
        <v>2117.0970000000002</v>
      </c>
    </row>
    <row r="28" spans="1:13" ht="14.25" x14ac:dyDescent="0.2">
      <c r="A28" s="30" t="s">
        <v>47</v>
      </c>
      <c r="B28" s="10">
        <f t="shared" si="8"/>
        <v>2117.0970000000002</v>
      </c>
      <c r="C28" s="12">
        <v>2233.4859999999999</v>
      </c>
      <c r="D28" s="12">
        <f>(11495.6*2204.622)/1000000</f>
        <v>25.343452663199997</v>
      </c>
      <c r="E28" s="12">
        <f t="shared" si="6"/>
        <v>4375.9264526632005</v>
      </c>
      <c r="F28" s="10"/>
      <c r="G28" s="10">
        <v>2030</v>
      </c>
      <c r="H28" s="12">
        <v>811</v>
      </c>
      <c r="I28" s="12">
        <v>1199</v>
      </c>
      <c r="J28" s="12">
        <f>(106506.7*2204.622)/1000000</f>
        <v>234.8070139674</v>
      </c>
      <c r="K28" s="12">
        <f t="shared" si="7"/>
        <v>2265.1404526632004</v>
      </c>
      <c r="L28" s="10">
        <v>2110.7860000000001</v>
      </c>
    </row>
    <row r="29" spans="1:13" ht="14.25" x14ac:dyDescent="0.2">
      <c r="A29" s="30" t="s">
        <v>48</v>
      </c>
      <c r="B29" s="10">
        <f t="shared" si="8"/>
        <v>2110.7860000000001</v>
      </c>
      <c r="C29" s="12">
        <v>2308.752</v>
      </c>
      <c r="D29" s="12">
        <f>(8612.3*2204.622)/1000000</f>
        <v>18.986866050599996</v>
      </c>
      <c r="E29" s="12">
        <f t="shared" si="6"/>
        <v>4438.5248660506004</v>
      </c>
      <c r="F29" s="10"/>
      <c r="G29" s="10">
        <v>1804.7</v>
      </c>
      <c r="H29" s="12">
        <v>682.87599999999998</v>
      </c>
      <c r="I29" s="12">
        <v>1121.7</v>
      </c>
      <c r="J29" s="12">
        <f>(148706.1*2204.622)/1000000</f>
        <v>327.84073959419999</v>
      </c>
      <c r="K29" s="12">
        <f t="shared" si="7"/>
        <v>2132.5338660506004</v>
      </c>
      <c r="L29" s="10">
        <v>2305.991</v>
      </c>
    </row>
    <row r="30" spans="1:13" ht="14.25" x14ac:dyDescent="0.2">
      <c r="A30" s="30" t="s">
        <v>49</v>
      </c>
      <c r="B30" s="10">
        <f t="shared" si="8"/>
        <v>2305.991</v>
      </c>
      <c r="C30" s="12">
        <v>1924.749</v>
      </c>
      <c r="D30" s="12">
        <f>(9731.5*2204.622)/1000000</f>
        <v>21.454278992999996</v>
      </c>
      <c r="E30" s="12">
        <f t="shared" si="6"/>
        <v>4252.1942789929999</v>
      </c>
      <c r="F30" s="10"/>
      <c r="G30" s="10">
        <v>1690.2</v>
      </c>
      <c r="H30" s="12">
        <v>552.22799999999995</v>
      </c>
      <c r="I30" s="12">
        <v>1138.2</v>
      </c>
      <c r="J30" s="12">
        <f>(116113.6*2204.622)/1000000</f>
        <v>255.98659705919999</v>
      </c>
      <c r="K30" s="12">
        <f t="shared" si="7"/>
        <v>1946.2062789930001</v>
      </c>
      <c r="L30" s="10">
        <v>2305.9879999999998</v>
      </c>
    </row>
    <row r="31" spans="1:13" ht="14.25" x14ac:dyDescent="0.2">
      <c r="A31" s="30" t="s">
        <v>50</v>
      </c>
      <c r="B31" s="10">
        <f t="shared" si="8"/>
        <v>2305.9879999999998</v>
      </c>
      <c r="C31" s="12">
        <v>2222.123</v>
      </c>
      <c r="D31" s="12">
        <f>(9663.9*2204.622)/1000000</f>
        <v>21.305246545799996</v>
      </c>
      <c r="E31" s="12">
        <f t="shared" si="6"/>
        <v>4549.4162465458003</v>
      </c>
      <c r="F31" s="10"/>
      <c r="G31" s="10">
        <v>2148.1999999999998</v>
      </c>
      <c r="H31" s="12">
        <v>740.35334330000001</v>
      </c>
      <c r="I31" s="12">
        <v>1408.2</v>
      </c>
      <c r="J31" s="12">
        <f>(70685.2*2204.622)/1000000</f>
        <v>155.83414699439999</v>
      </c>
      <c r="K31" s="12">
        <f t="shared" si="7"/>
        <v>2304.1382465458005</v>
      </c>
      <c r="L31" s="10">
        <v>2245.2779999999998</v>
      </c>
    </row>
    <row r="32" spans="1:13" ht="14.25" x14ac:dyDescent="0.2">
      <c r="A32" s="30" t="s">
        <v>51</v>
      </c>
      <c r="B32" s="10">
        <f t="shared" si="8"/>
        <v>2245.2779999999998</v>
      </c>
      <c r="C32" s="12">
        <v>1991.877</v>
      </c>
      <c r="D32" s="12">
        <f>(9309.5*2204.622)/1000000</f>
        <v>20.523928509000001</v>
      </c>
      <c r="E32" s="12">
        <f t="shared" si="6"/>
        <v>4257.6789285089999</v>
      </c>
      <c r="F32" s="10"/>
      <c r="G32" s="10">
        <v>1950.5</v>
      </c>
      <c r="H32" s="12">
        <v>699.93299999999999</v>
      </c>
      <c r="I32" s="12">
        <f>G32-H32</f>
        <v>1250.567</v>
      </c>
      <c r="J32" s="12">
        <f>(58789.4*2204.622)/1000000</f>
        <v>129.60840460679998</v>
      </c>
      <c r="K32" s="12">
        <f t="shared" si="7"/>
        <v>2080.0909285089997</v>
      </c>
      <c r="L32" s="10">
        <v>2177.5880000000002</v>
      </c>
    </row>
    <row r="33" spans="1:12" ht="14.25" x14ac:dyDescent="0.2">
      <c r="A33" s="30" t="s">
        <v>52</v>
      </c>
      <c r="B33" s="10">
        <f t="shared" ref="B33" si="9">L32</f>
        <v>2177.5880000000002</v>
      </c>
      <c r="C33" s="12">
        <v>2043.135</v>
      </c>
      <c r="D33" s="12">
        <f>(7517.3*2204.622)/1000000</f>
        <v>16.572804960599999</v>
      </c>
      <c r="E33" s="12">
        <f t="shared" ref="E33:E36" si="10">SUM(B33:D33)</f>
        <v>4237.2958049605995</v>
      </c>
      <c r="F33" s="10"/>
      <c r="G33" s="10">
        <f>K33-J33</f>
        <v>2019.0822001577997</v>
      </c>
      <c r="H33" s="12">
        <v>787.56200000000001</v>
      </c>
      <c r="I33" s="12">
        <f>G33-H33</f>
        <v>1231.5202001577995</v>
      </c>
      <c r="J33" s="12">
        <f>(32307.4*2204.622)/1000000</f>
        <v>71.225604802800007</v>
      </c>
      <c r="K33" s="12">
        <f>E33-L33</f>
        <v>2090.3078049605997</v>
      </c>
      <c r="L33" s="10">
        <v>2146.9879999999998</v>
      </c>
    </row>
    <row r="34" spans="1:12" ht="14.25" x14ac:dyDescent="0.2">
      <c r="A34" s="30" t="s">
        <v>53</v>
      </c>
      <c r="B34" s="10">
        <f>L33</f>
        <v>2146.9879999999998</v>
      </c>
      <c r="C34" s="12">
        <v>1908.6489999999999</v>
      </c>
      <c r="D34" s="12">
        <f>(11859.1*2204.622)/1000000</f>
        <v>26.144832760199996</v>
      </c>
      <c r="E34" s="12">
        <f t="shared" si="10"/>
        <v>4081.7818327601999</v>
      </c>
      <c r="F34" s="10"/>
      <c r="G34" s="10">
        <f>K34-J34</f>
        <v>1889.5260091224</v>
      </c>
      <c r="H34" s="12">
        <v>663.33</v>
      </c>
      <c r="I34" s="12">
        <f>G34-H34</f>
        <v>1226.1960091224</v>
      </c>
      <c r="J34" s="12">
        <f>(41549.9*2204.622)/1000000</f>
        <v>91.601823637799995</v>
      </c>
      <c r="K34" s="12">
        <f>E34-L34</f>
        <v>1981.1278327601999</v>
      </c>
      <c r="L34" s="10">
        <v>2100.654</v>
      </c>
    </row>
    <row r="35" spans="1:12" ht="14.25" x14ac:dyDescent="0.2">
      <c r="A35" s="30" t="s">
        <v>55</v>
      </c>
      <c r="B35" s="10">
        <f>L34</f>
        <v>2100.654</v>
      </c>
      <c r="C35" s="12">
        <v>1972.6880000000001</v>
      </c>
      <c r="D35" s="12">
        <f>(14747.4*2204.622)/1000000</f>
        <v>32.512442482799997</v>
      </c>
      <c r="E35" s="12">
        <f t="shared" si="10"/>
        <v>4105.8544424827996</v>
      </c>
      <c r="F35" s="10"/>
      <c r="G35" s="10">
        <f>K35-J35</f>
        <v>2000.0640604969997</v>
      </c>
      <c r="H35" s="12">
        <v>791.97900000000004</v>
      </c>
      <c r="I35" s="12">
        <f>G35-H35</f>
        <v>1208.0850604969996</v>
      </c>
      <c r="J35" s="12">
        <f>(16183.9*2204.622)/1000000</f>
        <v>35.679381985799999</v>
      </c>
      <c r="K35" s="12">
        <f>E35-L35</f>
        <v>2035.7434424827998</v>
      </c>
      <c r="L35" s="10">
        <v>2070.1109999999999</v>
      </c>
    </row>
    <row r="36" spans="1:12" ht="14.25" x14ac:dyDescent="0.2">
      <c r="A36" s="30" t="s">
        <v>56</v>
      </c>
      <c r="B36" s="10">
        <f>L35</f>
        <v>2070.1109999999999</v>
      </c>
      <c r="C36" s="12">
        <v>1989.7329999999999</v>
      </c>
      <c r="D36" s="12">
        <f>(19317.4*2204.622)/1000000</f>
        <v>42.5875650228</v>
      </c>
      <c r="E36" s="12">
        <f t="shared" si="10"/>
        <v>4102.4315650228</v>
      </c>
      <c r="F36" s="10"/>
      <c r="G36" s="10">
        <f>K36-J36</f>
        <v>1894.3565643877998</v>
      </c>
      <c r="H36" s="12" t="s">
        <v>10</v>
      </c>
      <c r="I36" s="12" t="s">
        <v>10</v>
      </c>
      <c r="J36" s="12">
        <f>(11142.5*2204.622)/1000000</f>
        <v>24.565000634999997</v>
      </c>
      <c r="K36" s="12">
        <f>E36-L36</f>
        <v>1918.9215650227998</v>
      </c>
      <c r="L36" s="10">
        <v>2183.5100000000002</v>
      </c>
    </row>
    <row r="37" spans="1:12" ht="14.25" x14ac:dyDescent="0.2">
      <c r="A37" s="24" t="s">
        <v>123</v>
      </c>
      <c r="B37" s="83"/>
      <c r="C37" s="61">
        <f>SUM(C26:C36)</f>
        <v>23084.455000000002</v>
      </c>
      <c r="D37" s="61">
        <f>SUM(D26:D36)</f>
        <v>267.12699294959998</v>
      </c>
      <c r="E37" s="61">
        <f>B26+C37+D37</f>
        <v>25204.256992949602</v>
      </c>
      <c r="F37" s="83"/>
      <c r="G37" s="83">
        <f>SUM(G26:G36)</f>
        <v>21331.728834164998</v>
      </c>
      <c r="H37" s="61">
        <f>SUM(H26:H36)</f>
        <v>7269.2613433000006</v>
      </c>
      <c r="I37" s="61">
        <f>SUM(I26:I36)</f>
        <v>12141.568269777199</v>
      </c>
      <c r="J37" s="61">
        <f>SUM(J26:J36)</f>
        <v>1689.6311192879998</v>
      </c>
      <c r="K37" s="83">
        <f>SUM(K26:K36)</f>
        <v>23020.746992949604</v>
      </c>
      <c r="L37" s="83"/>
    </row>
    <row r="38" spans="1:12" ht="16.5" x14ac:dyDescent="0.2">
      <c r="A38" s="77" t="s">
        <v>153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spans="1:12" ht="14.25" x14ac:dyDescent="0.2">
      <c r="A39" s="26" t="s">
        <v>91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</row>
    <row r="40" spans="1:12" ht="14.25" x14ac:dyDescent="0.2">
      <c r="A40" s="32" t="s">
        <v>18</v>
      </c>
      <c r="B40" s="66">
        <f ca="1">NOW()</f>
        <v>44482.587913078707</v>
      </c>
    </row>
  </sheetData>
  <mergeCells count="3">
    <mergeCell ref="B5:L5"/>
    <mergeCell ref="G2:I2"/>
    <mergeCell ref="B2:E2"/>
  </mergeCells>
  <phoneticPr fontId="11" type="noConversion"/>
  <pageMargins left="0.75" right="0.75" top="1" bottom="1" header="0.5" footer="0.5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4"/>
  <sheetViews>
    <sheetView showGridLines="0" zoomScaleNormal="100" workbookViewId="0"/>
  </sheetViews>
  <sheetFormatPr defaultRowHeight="12.75" x14ac:dyDescent="0.2"/>
  <cols>
    <col min="1" max="1" width="14.7109375" style="25" customWidth="1"/>
    <col min="2" max="2" width="12.7109375" style="25" customWidth="1"/>
    <col min="3" max="3" width="12.140625" style="25" customWidth="1"/>
    <col min="4" max="4" width="13.42578125" style="25" customWidth="1"/>
    <col min="5" max="5" width="15.28515625" style="25" customWidth="1"/>
    <col min="6" max="6" width="10.5703125" style="25" customWidth="1"/>
    <col min="7" max="7" width="11.7109375" style="25" customWidth="1"/>
    <col min="8" max="8" width="8.7109375" style="25" customWidth="1"/>
    <col min="9" max="9" width="9.7109375" style="25" customWidth="1"/>
    <col min="10" max="11" width="7.7109375" style="25" customWidth="1"/>
    <col min="12" max="12" width="8.5703125" style="25" customWidth="1"/>
    <col min="13" max="13" width="9.5703125" style="25" customWidth="1"/>
    <col min="14" max="15" width="7.5703125" style="25" customWidth="1"/>
    <col min="16" max="18" width="9.140625" style="25"/>
    <col min="19" max="19" width="17.42578125" style="25" bestFit="1" customWidth="1"/>
    <col min="20" max="20" width="9.140625" style="25"/>
    <col min="21" max="21" width="28.28515625" style="25" bestFit="1" customWidth="1"/>
    <col min="22" max="16384" width="9.140625" style="25"/>
  </cols>
  <sheetData>
    <row r="1" spans="1:15" ht="14.25" x14ac:dyDescent="0.2">
      <c r="A1" s="24" t="s">
        <v>134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6"/>
      <c r="M1" s="26"/>
      <c r="N1" s="26"/>
      <c r="O1" s="26"/>
    </row>
    <row r="2" spans="1:15" ht="14.25" x14ac:dyDescent="0.2">
      <c r="A2" s="26"/>
      <c r="B2" s="165" t="s">
        <v>0</v>
      </c>
      <c r="C2" s="165"/>
      <c r="D2" s="165"/>
      <c r="E2" s="165"/>
      <c r="F2" s="123"/>
      <c r="G2" s="165" t="s">
        <v>17</v>
      </c>
      <c r="H2" s="165"/>
      <c r="I2" s="165"/>
      <c r="J2" s="165"/>
      <c r="K2" s="123"/>
      <c r="L2" s="26"/>
      <c r="M2" s="26"/>
      <c r="N2" s="26"/>
      <c r="O2" s="26"/>
    </row>
    <row r="3" spans="1:15" ht="14.25" x14ac:dyDescent="0.2">
      <c r="A3" s="26" t="s">
        <v>61</v>
      </c>
      <c r="B3" s="32" t="s">
        <v>28</v>
      </c>
      <c r="C3" s="32"/>
      <c r="D3" s="32"/>
      <c r="E3" s="32"/>
      <c r="F3" s="124"/>
      <c r="G3" s="32"/>
      <c r="H3" s="32"/>
      <c r="I3" s="32"/>
      <c r="J3" s="32"/>
      <c r="K3" s="28" t="s">
        <v>26</v>
      </c>
      <c r="L3" s="26"/>
      <c r="M3" s="26"/>
      <c r="N3" s="26"/>
      <c r="O3" s="26"/>
    </row>
    <row r="4" spans="1:15" ht="14.25" x14ac:dyDescent="0.2">
      <c r="A4" s="33" t="s">
        <v>63</v>
      </c>
      <c r="B4" s="35" t="s">
        <v>42</v>
      </c>
      <c r="C4" s="98" t="s">
        <v>1</v>
      </c>
      <c r="D4" s="37" t="s">
        <v>29</v>
      </c>
      <c r="E4" s="35" t="s">
        <v>70</v>
      </c>
      <c r="F4" s="36"/>
      <c r="G4" s="35" t="s">
        <v>32</v>
      </c>
      <c r="H4" s="35" t="s">
        <v>4</v>
      </c>
      <c r="I4" s="35" t="s">
        <v>33</v>
      </c>
      <c r="J4" s="35" t="s">
        <v>30</v>
      </c>
      <c r="K4" s="35" t="s">
        <v>25</v>
      </c>
      <c r="L4" s="26"/>
      <c r="M4" s="26"/>
      <c r="N4" s="26"/>
      <c r="O4" s="26"/>
    </row>
    <row r="5" spans="1:15" ht="14.25" x14ac:dyDescent="0.2">
      <c r="A5" s="26"/>
      <c r="B5" s="168" t="s">
        <v>14</v>
      </c>
      <c r="C5" s="168"/>
      <c r="D5" s="168"/>
      <c r="E5" s="168"/>
      <c r="F5" s="168"/>
      <c r="G5" s="168"/>
      <c r="H5" s="168"/>
      <c r="I5" s="168"/>
      <c r="J5" s="168"/>
      <c r="K5" s="168"/>
      <c r="L5" s="26"/>
      <c r="M5" s="26"/>
      <c r="N5" s="26"/>
      <c r="O5" s="26"/>
    </row>
    <row r="6" spans="1:15" ht="14.25" x14ac:dyDescent="0.2">
      <c r="A6" s="26" t="s">
        <v>114</v>
      </c>
      <c r="B6" s="125">
        <v>476.97603460691334</v>
      </c>
      <c r="C6" s="125">
        <v>5945</v>
      </c>
      <c r="D6" s="126">
        <v>1.0880000000000001</v>
      </c>
      <c r="E6" s="125">
        <v>6423.0879999999997</v>
      </c>
      <c r="F6" s="127"/>
      <c r="G6" s="125">
        <v>1712.0099999999998</v>
      </c>
      <c r="H6" s="128">
        <v>340.64748459156186</v>
      </c>
      <c r="I6" s="125">
        <v>3914.4029999999993</v>
      </c>
      <c r="J6" s="129">
        <f>E6-K6</f>
        <v>5967.0811380282848</v>
      </c>
      <c r="K6" s="125">
        <v>456.0068619717149</v>
      </c>
      <c r="L6" s="26"/>
      <c r="M6" s="26"/>
      <c r="N6" s="26"/>
      <c r="O6" s="26"/>
    </row>
    <row r="7" spans="1:15" ht="16.5" x14ac:dyDescent="0.2">
      <c r="A7" s="30" t="s">
        <v>117</v>
      </c>
      <c r="B7" s="129">
        <f>K6</f>
        <v>456.0068619717149</v>
      </c>
      <c r="C7" s="129">
        <v>4509</v>
      </c>
      <c r="D7" s="130">
        <v>1</v>
      </c>
      <c r="E7" s="129">
        <f>B7+C7+D7</f>
        <v>4966.0068619717149</v>
      </c>
      <c r="F7" s="131"/>
      <c r="G7" s="129">
        <v>1562.7429999999999</v>
      </c>
      <c r="H7" s="132">
        <v>282.68453874670092</v>
      </c>
      <c r="I7" s="129">
        <f>J7-G7-H7</f>
        <v>2762.0677753251334</v>
      </c>
      <c r="J7" s="129">
        <f>E7-K7</f>
        <v>4607.4953140718344</v>
      </c>
      <c r="K7" s="129">
        <v>358.5115478998805</v>
      </c>
      <c r="L7" s="26"/>
      <c r="M7" s="26"/>
      <c r="N7" s="26"/>
      <c r="O7" s="26"/>
    </row>
    <row r="8" spans="1:15" ht="16.5" x14ac:dyDescent="0.2">
      <c r="A8" s="24" t="s">
        <v>147</v>
      </c>
      <c r="B8" s="133">
        <f>K7</f>
        <v>358.5115478998805</v>
      </c>
      <c r="C8" s="133">
        <v>5491</v>
      </c>
      <c r="D8" s="134">
        <v>50</v>
      </c>
      <c r="E8" s="133">
        <f>B8+C8+D8</f>
        <v>5899.5115478998805</v>
      </c>
      <c r="F8" s="135"/>
      <c r="G8" s="133">
        <v>1775</v>
      </c>
      <c r="H8" s="136">
        <v>300</v>
      </c>
      <c r="I8" s="133">
        <v>3370.6</v>
      </c>
      <c r="J8" s="133">
        <f>E8-K8</f>
        <v>5445.6</v>
      </c>
      <c r="K8" s="133">
        <v>453.91154789988013</v>
      </c>
      <c r="L8" s="26"/>
      <c r="M8" s="26"/>
      <c r="N8" s="26"/>
      <c r="O8" s="26"/>
    </row>
    <row r="9" spans="1:15" ht="16.5" x14ac:dyDescent="0.2">
      <c r="A9" s="77" t="s">
        <v>92</v>
      </c>
      <c r="B9" s="26"/>
      <c r="C9" s="127"/>
      <c r="D9" s="127"/>
      <c r="E9" s="127"/>
      <c r="F9" s="127"/>
      <c r="G9" s="137"/>
      <c r="H9" s="127"/>
      <c r="I9" s="127"/>
      <c r="J9" s="127"/>
      <c r="K9" s="26"/>
      <c r="L9" s="26"/>
      <c r="M9" s="26"/>
      <c r="N9" s="26"/>
      <c r="O9" s="26"/>
    </row>
    <row r="10" spans="1:15" ht="14.25" x14ac:dyDescent="0.2">
      <c r="A10" s="26" t="s">
        <v>145</v>
      </c>
      <c r="B10" s="45"/>
      <c r="C10" s="53"/>
      <c r="D10" s="26"/>
      <c r="E10" s="45"/>
      <c r="F10" s="45"/>
      <c r="G10" s="45"/>
      <c r="H10" s="45"/>
      <c r="I10" s="45"/>
      <c r="J10" s="45"/>
      <c r="K10" s="26"/>
      <c r="L10" s="26"/>
      <c r="M10" s="26"/>
      <c r="N10" s="26"/>
      <c r="O10" s="26"/>
    </row>
    <row r="11" spans="1:15" ht="14.25" x14ac:dyDescent="0.2">
      <c r="A11" s="26" t="s">
        <v>118</v>
      </c>
      <c r="B11" s="45"/>
      <c r="C11" s="53"/>
      <c r="D11" s="26"/>
      <c r="E11" s="45"/>
      <c r="F11" s="45"/>
      <c r="G11" s="45"/>
      <c r="H11" s="45"/>
      <c r="I11" s="45"/>
      <c r="J11" s="45"/>
      <c r="K11" s="26"/>
      <c r="L11" s="26"/>
      <c r="M11" s="26"/>
      <c r="N11" s="26"/>
      <c r="O11" s="26"/>
    </row>
    <row r="12" spans="1:15" ht="14.25" x14ac:dyDescent="0.2">
      <c r="A12" s="26"/>
      <c r="B12" s="45"/>
      <c r="C12" s="53"/>
      <c r="D12" s="26"/>
      <c r="E12" s="45"/>
      <c r="F12" s="45"/>
      <c r="G12" s="45"/>
      <c r="H12" s="45"/>
      <c r="I12" s="45"/>
      <c r="J12" s="45"/>
      <c r="K12" s="26"/>
      <c r="L12" s="26"/>
      <c r="M12" s="26"/>
      <c r="N12" s="26"/>
      <c r="O12" s="26"/>
    </row>
    <row r="13" spans="1:15" ht="14.25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14.25" x14ac:dyDescent="0.2">
      <c r="A14" s="24" t="s">
        <v>135</v>
      </c>
      <c r="B14" s="24"/>
      <c r="C14" s="24"/>
      <c r="D14" s="24"/>
      <c r="E14" s="24"/>
      <c r="F14" s="24"/>
      <c r="G14" s="24"/>
      <c r="H14" s="24"/>
      <c r="I14" s="26"/>
      <c r="J14" s="24"/>
      <c r="K14" s="26"/>
      <c r="L14" s="26"/>
      <c r="M14" s="26"/>
      <c r="N14" s="26"/>
      <c r="O14" s="26"/>
    </row>
    <row r="15" spans="1:15" ht="14.25" x14ac:dyDescent="0.2">
      <c r="A15" s="26"/>
      <c r="B15" s="165" t="s">
        <v>0</v>
      </c>
      <c r="C15" s="165"/>
      <c r="D15" s="165"/>
      <c r="E15" s="165"/>
      <c r="F15" s="26"/>
      <c r="G15" s="165" t="s">
        <v>17</v>
      </c>
      <c r="H15" s="165"/>
      <c r="I15" s="165"/>
      <c r="J15" s="26"/>
      <c r="K15" s="26"/>
      <c r="L15" s="26"/>
      <c r="M15" s="26"/>
      <c r="N15" s="26"/>
      <c r="O15" s="26"/>
    </row>
    <row r="16" spans="1:15" ht="14.25" x14ac:dyDescent="0.2">
      <c r="A16" s="26" t="s">
        <v>61</v>
      </c>
      <c r="B16" s="28" t="s">
        <v>28</v>
      </c>
      <c r="C16" s="32"/>
      <c r="D16" s="32"/>
      <c r="E16" s="32"/>
      <c r="F16" s="32"/>
      <c r="G16" s="32"/>
      <c r="H16" s="32"/>
      <c r="I16" s="32"/>
      <c r="J16" s="28" t="s">
        <v>26</v>
      </c>
      <c r="K16" s="26"/>
      <c r="L16" s="26"/>
      <c r="M16" s="26"/>
      <c r="N16" s="26"/>
      <c r="O16" s="26"/>
    </row>
    <row r="17" spans="1:15" ht="14.25" x14ac:dyDescent="0.2">
      <c r="A17" s="33" t="s">
        <v>62</v>
      </c>
      <c r="B17" s="35" t="s">
        <v>25</v>
      </c>
      <c r="C17" s="98" t="s">
        <v>1</v>
      </c>
      <c r="D17" s="37" t="s">
        <v>29</v>
      </c>
      <c r="E17" s="35" t="s">
        <v>30</v>
      </c>
      <c r="F17" s="36"/>
      <c r="G17" s="129" t="s">
        <v>9</v>
      </c>
      <c r="H17" s="35" t="s">
        <v>4</v>
      </c>
      <c r="I17" s="37" t="s">
        <v>24</v>
      </c>
      <c r="J17" s="35" t="s">
        <v>25</v>
      </c>
      <c r="K17" s="26"/>
      <c r="L17" s="26"/>
      <c r="M17" s="26"/>
      <c r="N17" s="26"/>
      <c r="O17" s="26"/>
    </row>
    <row r="18" spans="1:15" ht="14.25" x14ac:dyDescent="0.2">
      <c r="A18" s="26"/>
      <c r="B18" s="168" t="s">
        <v>15</v>
      </c>
      <c r="C18" s="168"/>
      <c r="D18" s="168"/>
      <c r="E18" s="168"/>
      <c r="F18" s="168"/>
      <c r="G18" s="168"/>
      <c r="H18" s="168"/>
      <c r="I18" s="168"/>
      <c r="J18" s="168"/>
      <c r="K18" s="26"/>
      <c r="L18" s="26"/>
      <c r="M18" s="26"/>
      <c r="N18" s="26"/>
      <c r="O18" s="26"/>
    </row>
    <row r="19" spans="1:15" ht="14.25" x14ac:dyDescent="0.2">
      <c r="A19" s="26" t="s">
        <v>114</v>
      </c>
      <c r="B19" s="125">
        <v>43</v>
      </c>
      <c r="C19" s="128">
        <v>779.976</v>
      </c>
      <c r="D19" s="126">
        <v>0</v>
      </c>
      <c r="E19" s="128">
        <v>822.976</v>
      </c>
      <c r="F19" s="26"/>
      <c r="G19" s="128">
        <v>688.44474810762813</v>
      </c>
      <c r="H19" s="128">
        <v>109.65925189237197</v>
      </c>
      <c r="I19" s="132">
        <f>SUM(G19:H19)</f>
        <v>798.10400000000004</v>
      </c>
      <c r="J19" s="125">
        <v>24.872</v>
      </c>
      <c r="K19" s="26"/>
      <c r="L19" s="26"/>
      <c r="M19" s="26"/>
      <c r="N19" s="26"/>
      <c r="O19" s="26"/>
    </row>
    <row r="20" spans="1:15" ht="16.5" x14ac:dyDescent="0.2">
      <c r="A20" s="30" t="s">
        <v>117</v>
      </c>
      <c r="B20" s="129">
        <f>J20</f>
        <v>25</v>
      </c>
      <c r="C20" s="132">
        <v>670</v>
      </c>
      <c r="D20" s="130">
        <v>0</v>
      </c>
      <c r="E20" s="132">
        <f>B20+C20+D20</f>
        <v>695</v>
      </c>
      <c r="F20" s="131"/>
      <c r="G20" s="132">
        <v>604.87199999999996</v>
      </c>
      <c r="H20" s="132">
        <v>65</v>
      </c>
      <c r="I20" s="132">
        <f>SUM(G20:H20)</f>
        <v>669.87199999999996</v>
      </c>
      <c r="J20" s="129">
        <v>25</v>
      </c>
      <c r="K20" s="26"/>
      <c r="L20" s="26"/>
      <c r="M20" s="26"/>
      <c r="N20" s="26"/>
      <c r="O20" s="26"/>
    </row>
    <row r="21" spans="1:15" ht="16.5" x14ac:dyDescent="0.2">
      <c r="A21" s="24" t="s">
        <v>147</v>
      </c>
      <c r="B21" s="133">
        <f>J21</f>
        <v>25</v>
      </c>
      <c r="C21" s="136">
        <v>800</v>
      </c>
      <c r="D21" s="134">
        <v>0</v>
      </c>
      <c r="E21" s="136">
        <f>B21+C21+D21</f>
        <v>825</v>
      </c>
      <c r="F21" s="135"/>
      <c r="G21" s="136">
        <v>725</v>
      </c>
      <c r="H21" s="136">
        <v>75</v>
      </c>
      <c r="I21" s="136">
        <f>SUM(G21:H21)</f>
        <v>800</v>
      </c>
      <c r="J21" s="133">
        <v>25</v>
      </c>
      <c r="K21" s="26"/>
      <c r="L21" s="26"/>
      <c r="M21" s="26"/>
      <c r="N21" s="26"/>
      <c r="O21" s="26"/>
    </row>
    <row r="22" spans="1:15" ht="16.5" x14ac:dyDescent="0.2">
      <c r="A22" s="77" t="s">
        <v>92</v>
      </c>
      <c r="B22" s="26"/>
      <c r="C22" s="127"/>
      <c r="D22" s="127"/>
      <c r="E22" s="127"/>
      <c r="F22" s="127"/>
      <c r="G22" s="127"/>
      <c r="H22" s="127"/>
      <c r="I22" s="26"/>
      <c r="J22" s="26"/>
      <c r="K22" s="26"/>
      <c r="L22" s="26"/>
      <c r="M22" s="26"/>
      <c r="N22" s="26"/>
      <c r="O22" s="26"/>
    </row>
    <row r="23" spans="1:15" ht="14.25" x14ac:dyDescent="0.2">
      <c r="A23" s="26" t="s">
        <v>154</v>
      </c>
      <c r="B23" s="131"/>
      <c r="C23" s="131"/>
      <c r="D23" s="131"/>
      <c r="E23" s="131"/>
      <c r="F23" s="131"/>
      <c r="G23" s="131"/>
      <c r="H23" s="131"/>
      <c r="I23" s="26"/>
      <c r="J23" s="26"/>
      <c r="K23" s="26"/>
      <c r="L23" s="26"/>
      <c r="M23" s="26"/>
      <c r="N23" s="26"/>
      <c r="O23" s="26"/>
    </row>
    <row r="24" spans="1:15" ht="14.25" x14ac:dyDescent="0.2">
      <c r="A24" s="30"/>
      <c r="B24" s="45"/>
      <c r="C24" s="45"/>
      <c r="D24" s="45"/>
      <c r="E24" s="45"/>
      <c r="F24" s="45"/>
      <c r="G24" s="45"/>
      <c r="H24" s="45"/>
      <c r="I24" s="26"/>
      <c r="J24" s="26"/>
      <c r="K24" s="26"/>
      <c r="L24" s="26"/>
      <c r="M24" s="26"/>
      <c r="N24" s="26"/>
      <c r="O24" s="26"/>
    </row>
    <row r="25" spans="1:15" ht="14.25" x14ac:dyDescent="0.2">
      <c r="A25" s="30"/>
      <c r="B25" s="45"/>
      <c r="C25" s="53"/>
      <c r="D25" s="45"/>
      <c r="E25" s="45"/>
      <c r="F25" s="45"/>
      <c r="G25" s="45"/>
      <c r="H25" s="45"/>
      <c r="I25" s="26"/>
      <c r="J25" s="26"/>
      <c r="K25" s="26"/>
      <c r="L25" s="26"/>
      <c r="M25" s="26"/>
      <c r="N25" s="26"/>
      <c r="O25" s="26"/>
    </row>
    <row r="26" spans="1:15" ht="14.25" x14ac:dyDescent="0.2">
      <c r="A26" s="24" t="s">
        <v>136</v>
      </c>
      <c r="B26" s="24"/>
      <c r="C26" s="24"/>
      <c r="D26" s="24"/>
      <c r="E26" s="24"/>
      <c r="F26" s="24"/>
      <c r="G26" s="24"/>
      <c r="H26" s="24"/>
      <c r="I26" s="26"/>
      <c r="J26" s="24"/>
      <c r="K26" s="26"/>
      <c r="L26" s="26"/>
      <c r="M26" s="26"/>
      <c r="N26" s="26"/>
      <c r="O26" s="26"/>
    </row>
    <row r="27" spans="1:15" ht="14.25" x14ac:dyDescent="0.2">
      <c r="A27" s="26"/>
      <c r="B27" s="165" t="s">
        <v>0</v>
      </c>
      <c r="C27" s="165"/>
      <c r="D27" s="165"/>
      <c r="E27" s="165"/>
      <c r="F27" s="26"/>
      <c r="G27" s="165" t="s">
        <v>17</v>
      </c>
      <c r="H27" s="165"/>
      <c r="I27" s="165"/>
      <c r="J27" s="26"/>
      <c r="K27" s="26"/>
      <c r="L27" s="26"/>
      <c r="M27" s="26"/>
      <c r="N27" s="26"/>
      <c r="O27" s="26"/>
    </row>
    <row r="28" spans="1:15" ht="14.25" x14ac:dyDescent="0.2">
      <c r="A28" s="26" t="s">
        <v>61</v>
      </c>
      <c r="B28" s="28" t="s">
        <v>28</v>
      </c>
      <c r="C28" s="32"/>
      <c r="D28" s="32"/>
      <c r="E28" s="32"/>
      <c r="F28" s="32"/>
      <c r="G28" s="32"/>
      <c r="H28" s="32"/>
      <c r="I28" s="32"/>
      <c r="J28" s="28" t="s">
        <v>26</v>
      </c>
      <c r="K28" s="26"/>
      <c r="L28" s="26"/>
      <c r="M28" s="26"/>
      <c r="N28" s="26"/>
      <c r="O28" s="26"/>
    </row>
    <row r="29" spans="1:15" ht="14.25" x14ac:dyDescent="0.2">
      <c r="A29" s="33" t="s">
        <v>62</v>
      </c>
      <c r="B29" s="35" t="s">
        <v>25</v>
      </c>
      <c r="C29" s="35" t="s">
        <v>1</v>
      </c>
      <c r="D29" s="37" t="s">
        <v>29</v>
      </c>
      <c r="E29" s="35" t="s">
        <v>30</v>
      </c>
      <c r="F29" s="36"/>
      <c r="G29" s="35" t="s">
        <v>27</v>
      </c>
      <c r="H29" s="35" t="s">
        <v>4</v>
      </c>
      <c r="I29" s="35" t="s">
        <v>24</v>
      </c>
      <c r="J29" s="35" t="s">
        <v>71</v>
      </c>
      <c r="K29" s="26"/>
      <c r="L29" s="26"/>
      <c r="M29" s="26"/>
      <c r="N29" s="26"/>
      <c r="O29" s="26"/>
    </row>
    <row r="30" spans="1:15" ht="14.25" x14ac:dyDescent="0.2">
      <c r="A30" s="26"/>
      <c r="B30" s="168" t="s">
        <v>149</v>
      </c>
      <c r="C30" s="168"/>
      <c r="D30" s="168"/>
      <c r="E30" s="168"/>
      <c r="F30" s="168"/>
      <c r="G30" s="168"/>
      <c r="H30" s="168"/>
      <c r="I30" s="168"/>
      <c r="J30" s="168"/>
      <c r="K30" s="26"/>
      <c r="L30" s="26"/>
      <c r="M30" s="26"/>
      <c r="N30" s="26"/>
      <c r="O30" s="26"/>
    </row>
    <row r="31" spans="1:15" ht="14.25" x14ac:dyDescent="0.2">
      <c r="A31" s="26" t="s">
        <v>114</v>
      </c>
      <c r="B31" s="126">
        <v>35.040999999999997</v>
      </c>
      <c r="C31" s="128">
        <v>481.34800000000001</v>
      </c>
      <c r="D31" s="126">
        <v>0.26666000000000001</v>
      </c>
      <c r="E31" s="138">
        <f>B31+C31+D31</f>
        <v>516.65566000000001</v>
      </c>
      <c r="F31" s="26"/>
      <c r="G31" s="132">
        <f>I31-H31</f>
        <v>388.20178644136797</v>
      </c>
      <c r="H31" s="128">
        <v>83.915873558632001</v>
      </c>
      <c r="I31" s="132">
        <f>E31-J31</f>
        <v>472.11766</v>
      </c>
      <c r="J31" s="132">
        <v>44.537999999999997</v>
      </c>
      <c r="K31" s="26"/>
      <c r="L31" s="26"/>
      <c r="M31" s="26"/>
      <c r="N31" s="26"/>
      <c r="O31" s="26"/>
    </row>
    <row r="32" spans="1:15" ht="16.5" x14ac:dyDescent="0.2">
      <c r="A32" s="30" t="s">
        <v>117</v>
      </c>
      <c r="B32" s="130">
        <f>J31</f>
        <v>44.537999999999997</v>
      </c>
      <c r="C32" s="132">
        <v>415</v>
      </c>
      <c r="D32" s="130">
        <v>14</v>
      </c>
      <c r="E32" s="138">
        <f>B32+C32+D32</f>
        <v>473.53800000000001</v>
      </c>
      <c r="F32" s="131"/>
      <c r="G32" s="132">
        <f>I32-H32</f>
        <v>363.53800000000001</v>
      </c>
      <c r="H32" s="132">
        <v>65</v>
      </c>
      <c r="I32" s="132">
        <f>E32-J32</f>
        <v>428.53800000000001</v>
      </c>
      <c r="J32" s="132">
        <v>45</v>
      </c>
      <c r="K32" s="26"/>
      <c r="L32" s="26"/>
      <c r="M32" s="26"/>
      <c r="N32" s="26"/>
      <c r="O32" s="26"/>
    </row>
    <row r="33" spans="1:15" ht="16.5" x14ac:dyDescent="0.2">
      <c r="A33" s="24" t="s">
        <v>147</v>
      </c>
      <c r="B33" s="134">
        <f>J32</f>
        <v>45</v>
      </c>
      <c r="C33" s="136">
        <v>495</v>
      </c>
      <c r="D33" s="134">
        <v>5</v>
      </c>
      <c r="E33" s="139">
        <f>B33+C33+D33</f>
        <v>545</v>
      </c>
      <c r="F33" s="135"/>
      <c r="G33" s="136">
        <f>I33-H33</f>
        <v>434.35</v>
      </c>
      <c r="H33" s="136">
        <v>65.650000000000006</v>
      </c>
      <c r="I33" s="136">
        <f>E33-J33</f>
        <v>500</v>
      </c>
      <c r="J33" s="136">
        <v>45</v>
      </c>
      <c r="K33" s="26"/>
      <c r="L33" s="26"/>
      <c r="M33" s="26"/>
      <c r="N33" s="26"/>
      <c r="O33" s="26"/>
    </row>
    <row r="34" spans="1:15" ht="16.5" x14ac:dyDescent="0.2">
      <c r="A34" s="77" t="s">
        <v>92</v>
      </c>
      <c r="B34" s="26"/>
      <c r="C34" s="127"/>
      <c r="D34" s="127"/>
      <c r="E34" s="127"/>
      <c r="F34" s="127"/>
      <c r="G34" s="127"/>
      <c r="H34" s="127"/>
      <c r="I34" s="26"/>
      <c r="J34" s="26"/>
      <c r="K34" s="26"/>
      <c r="L34" s="26"/>
      <c r="M34" s="26"/>
      <c r="N34" s="26"/>
      <c r="O34" s="26"/>
    </row>
    <row r="35" spans="1:15" ht="14.25" x14ac:dyDescent="0.2">
      <c r="A35" s="26" t="s">
        <v>154</v>
      </c>
      <c r="B35" s="45"/>
      <c r="C35" s="53"/>
      <c r="D35" s="45"/>
      <c r="E35" s="45"/>
      <c r="F35" s="45"/>
      <c r="G35" s="45"/>
      <c r="H35" s="45"/>
      <c r="I35" s="26"/>
      <c r="J35" s="26"/>
      <c r="K35" s="26"/>
      <c r="L35" s="26"/>
      <c r="M35" s="26"/>
      <c r="N35" s="26"/>
      <c r="O35" s="26"/>
    </row>
    <row r="36" spans="1:15" ht="14.25" x14ac:dyDescent="0.2">
      <c r="A36" s="30"/>
      <c r="B36" s="30"/>
      <c r="C36" s="30"/>
      <c r="D36" s="30"/>
      <c r="E36" s="30"/>
      <c r="F36" s="30"/>
      <c r="G36" s="30"/>
      <c r="H36" s="30"/>
      <c r="I36" s="26"/>
      <c r="J36" s="26"/>
      <c r="K36" s="26"/>
      <c r="L36" s="26"/>
      <c r="M36" s="26"/>
      <c r="N36" s="26"/>
      <c r="O36" s="26"/>
    </row>
    <row r="37" spans="1:15" ht="14.2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ht="14.25" x14ac:dyDescent="0.2">
      <c r="A38" s="24" t="s">
        <v>137</v>
      </c>
      <c r="B38" s="24"/>
      <c r="C38" s="24"/>
      <c r="D38" s="24"/>
      <c r="E38" s="24"/>
      <c r="F38" s="24"/>
      <c r="G38" s="24"/>
      <c r="H38" s="24"/>
      <c r="I38" s="24"/>
      <c r="J38" s="26"/>
      <c r="K38" s="26"/>
      <c r="L38" s="26"/>
      <c r="M38" s="26"/>
      <c r="N38" s="26"/>
      <c r="O38" s="26"/>
    </row>
    <row r="39" spans="1:15" ht="14.25" x14ac:dyDescent="0.2">
      <c r="A39" s="26"/>
      <c r="B39" s="165" t="s">
        <v>19</v>
      </c>
      <c r="C39" s="165"/>
      <c r="D39" s="28" t="s">
        <v>22</v>
      </c>
      <c r="E39" s="165" t="s">
        <v>67</v>
      </c>
      <c r="F39" s="165"/>
      <c r="G39" s="165"/>
      <c r="H39" s="165"/>
      <c r="I39" s="26"/>
      <c r="J39" s="165" t="s">
        <v>17</v>
      </c>
      <c r="K39" s="165"/>
      <c r="L39" s="165"/>
      <c r="M39" s="165"/>
      <c r="N39" s="165"/>
      <c r="O39" s="123"/>
    </row>
    <row r="40" spans="1:15" ht="14.25" x14ac:dyDescent="0.2">
      <c r="A40" s="26" t="s">
        <v>61</v>
      </c>
      <c r="B40" s="28" t="s">
        <v>20</v>
      </c>
      <c r="C40" s="28" t="s">
        <v>21</v>
      </c>
      <c r="D40" s="26"/>
      <c r="E40" s="28" t="s">
        <v>28</v>
      </c>
      <c r="F40" s="28"/>
      <c r="G40" s="28"/>
      <c r="H40" s="28"/>
      <c r="I40" s="26"/>
      <c r="J40" s="140" t="s">
        <v>9</v>
      </c>
      <c r="K40" s="28"/>
      <c r="L40" s="28" t="s">
        <v>73</v>
      </c>
      <c r="M40" s="28"/>
      <c r="N40" s="28"/>
      <c r="O40" s="28" t="s">
        <v>26</v>
      </c>
    </row>
    <row r="41" spans="1:15" ht="14.25" x14ac:dyDescent="0.2">
      <c r="A41" s="33" t="s">
        <v>63</v>
      </c>
      <c r="B41" s="34"/>
      <c r="C41" s="34"/>
      <c r="D41" s="34"/>
      <c r="E41" s="35" t="s">
        <v>25</v>
      </c>
      <c r="F41" s="35" t="s">
        <v>1</v>
      </c>
      <c r="G41" s="35" t="s">
        <v>29</v>
      </c>
      <c r="H41" s="35" t="s">
        <v>30</v>
      </c>
      <c r="I41" s="35"/>
      <c r="J41" s="35" t="s">
        <v>34</v>
      </c>
      <c r="K41" s="35" t="s">
        <v>32</v>
      </c>
      <c r="L41" s="35" t="s">
        <v>5</v>
      </c>
      <c r="M41" s="37" t="s">
        <v>4</v>
      </c>
      <c r="N41" s="35" t="s">
        <v>24</v>
      </c>
      <c r="O41" s="35" t="s">
        <v>71</v>
      </c>
    </row>
    <row r="42" spans="1:15" ht="14.25" x14ac:dyDescent="0.2">
      <c r="A42" s="26"/>
      <c r="B42" s="169" t="s">
        <v>69</v>
      </c>
      <c r="C42" s="170"/>
      <c r="D42" s="141" t="s">
        <v>60</v>
      </c>
      <c r="E42" s="171" t="s">
        <v>16</v>
      </c>
      <c r="F42" s="168"/>
      <c r="G42" s="168"/>
      <c r="H42" s="168"/>
      <c r="I42" s="168"/>
      <c r="J42" s="168"/>
      <c r="K42" s="168"/>
      <c r="L42" s="168"/>
      <c r="M42" s="168"/>
      <c r="N42" s="168"/>
      <c r="O42" s="170"/>
    </row>
    <row r="43" spans="1:15" ht="14.25" x14ac:dyDescent="0.2">
      <c r="A43" s="26"/>
      <c r="B43" s="28"/>
      <c r="C43" s="28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</row>
    <row r="44" spans="1:15" ht="14.25" x14ac:dyDescent="0.2">
      <c r="A44" s="26" t="s">
        <v>114</v>
      </c>
      <c r="B44" s="125">
        <v>1432.7</v>
      </c>
      <c r="C44" s="125">
        <v>1389.7</v>
      </c>
      <c r="D44" s="129">
        <f>F44*1000/C44</f>
        <v>3933.5734331150607</v>
      </c>
      <c r="E44" s="125">
        <v>2421.09</v>
      </c>
      <c r="F44" s="125">
        <v>5466.4870000000001</v>
      </c>
      <c r="G44" s="132">
        <v>113.82652333129602</v>
      </c>
      <c r="H44" s="129">
        <f>SUM(E44:G44)</f>
        <v>8001.4035233312961</v>
      </c>
      <c r="I44" s="125"/>
      <c r="J44" s="125">
        <v>3221.4</v>
      </c>
      <c r="K44" s="125">
        <v>774.15131240000005</v>
      </c>
      <c r="L44" s="132">
        <f>N44-J44-K44-M44</f>
        <v>277.31027254689639</v>
      </c>
      <c r="M44" s="128">
        <v>1610.288415053104</v>
      </c>
      <c r="N44" s="125">
        <v>5883.1500000000005</v>
      </c>
      <c r="O44" s="125">
        <v>2118.1880000000001</v>
      </c>
    </row>
    <row r="45" spans="1:15" ht="16.5" x14ac:dyDescent="0.2">
      <c r="A45" s="30" t="s">
        <v>117</v>
      </c>
      <c r="B45" s="129">
        <v>1662.5</v>
      </c>
      <c r="C45" s="129">
        <v>1615.2</v>
      </c>
      <c r="D45" s="129">
        <f>F45*1000/C45</f>
        <v>3812.7476473501733</v>
      </c>
      <c r="E45" s="129">
        <f>O44</f>
        <v>2118.1880000000001</v>
      </c>
      <c r="F45" s="129">
        <v>6158.35</v>
      </c>
      <c r="G45" s="132">
        <v>121.04780464882167</v>
      </c>
      <c r="H45" s="129">
        <f>SUM(E45:G45)</f>
        <v>8397.5858046488229</v>
      </c>
      <c r="I45" s="129"/>
      <c r="J45" s="129">
        <v>3357.2</v>
      </c>
      <c r="K45" s="129">
        <v>872.91017669999985</v>
      </c>
      <c r="L45" s="132">
        <f>N45-J45-K45-M45</f>
        <v>782.56198954251931</v>
      </c>
      <c r="M45" s="132">
        <v>1416.7516384063038</v>
      </c>
      <c r="N45" s="129">
        <f>H45-O45</f>
        <v>6429.4238046488226</v>
      </c>
      <c r="O45" s="129">
        <v>1968.162</v>
      </c>
    </row>
    <row r="46" spans="1:15" ht="16.5" x14ac:dyDescent="0.2">
      <c r="A46" s="24" t="s">
        <v>147</v>
      </c>
      <c r="B46" s="133">
        <v>1580</v>
      </c>
      <c r="C46" s="133">
        <v>1533</v>
      </c>
      <c r="D46" s="133">
        <f>F46*1000/C46</f>
        <v>4104.5335942596221</v>
      </c>
      <c r="E46" s="133">
        <f>O45</f>
        <v>1968.162</v>
      </c>
      <c r="F46" s="133">
        <v>6292.25</v>
      </c>
      <c r="G46" s="136">
        <v>115</v>
      </c>
      <c r="H46" s="133">
        <f>SUM(E46:G46)</f>
        <v>8375.4120000000003</v>
      </c>
      <c r="I46" s="133"/>
      <c r="J46" s="133">
        <v>3459.4934971207999</v>
      </c>
      <c r="K46" s="133">
        <v>875</v>
      </c>
      <c r="L46" s="136">
        <f>N46-J46-K46-M46</f>
        <v>647.97499999999991</v>
      </c>
      <c r="M46" s="136">
        <v>1400</v>
      </c>
      <c r="N46" s="133">
        <f>H46-O46</f>
        <v>6382.4684971207998</v>
      </c>
      <c r="O46" s="133">
        <v>1992.9435028792004</v>
      </c>
    </row>
    <row r="47" spans="1:15" ht="16.5" x14ac:dyDescent="0.2">
      <c r="A47" s="77" t="s">
        <v>92</v>
      </c>
      <c r="B47" s="26"/>
      <c r="C47" s="127"/>
      <c r="D47" s="127"/>
      <c r="E47" s="127"/>
      <c r="F47" s="127"/>
      <c r="G47" s="127"/>
      <c r="H47" s="127"/>
      <c r="I47" s="26"/>
      <c r="J47" s="26"/>
      <c r="K47" s="26"/>
      <c r="L47" s="26"/>
      <c r="M47" s="26"/>
      <c r="N47" s="26"/>
      <c r="O47" s="26"/>
    </row>
    <row r="48" spans="1:15" ht="14.25" x14ac:dyDescent="0.2">
      <c r="A48" s="26" t="s">
        <v>146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</row>
    <row r="49" spans="1:15" ht="14.25" x14ac:dyDescent="0.2">
      <c r="A49" s="26" t="s">
        <v>118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pans="1:15" ht="14.25" x14ac:dyDescent="0.2">
      <c r="A50" s="32" t="s">
        <v>18</v>
      </c>
      <c r="B50" s="142">
        <f ca="1">NOW()</f>
        <v>44482.587913078707</v>
      </c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</row>
    <row r="51" spans="1:15" ht="44.45" customHeight="1" x14ac:dyDescent="0.2">
      <c r="A51" s="143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</row>
    <row r="52" spans="1:15" ht="15.75" x14ac:dyDescent="0.25">
      <c r="G52" s="105"/>
      <c r="H52" s="105"/>
    </row>
    <row r="53" spans="1:15" ht="15.75" x14ac:dyDescent="0.25">
      <c r="G53" s="105"/>
      <c r="H53" s="105"/>
    </row>
    <row r="54" spans="1:15" ht="15.75" x14ac:dyDescent="0.25">
      <c r="G54" s="105"/>
      <c r="H54" s="105"/>
    </row>
  </sheetData>
  <mergeCells count="14">
    <mergeCell ref="B39:C39"/>
    <mergeCell ref="B42:C42"/>
    <mergeCell ref="B18:J18"/>
    <mergeCell ref="E39:H39"/>
    <mergeCell ref="B30:J30"/>
    <mergeCell ref="E42:O42"/>
    <mergeCell ref="J39:N39"/>
    <mergeCell ref="G2:J2"/>
    <mergeCell ref="G15:I15"/>
    <mergeCell ref="B15:E15"/>
    <mergeCell ref="B2:E2"/>
    <mergeCell ref="B27:E27"/>
    <mergeCell ref="G27:I27"/>
    <mergeCell ref="B5:K5"/>
  </mergeCells>
  <phoneticPr fontId="11" type="noConversion"/>
  <pageMargins left="0.75" right="0.75" top="1" bottom="1" header="0.5" footer="0.5"/>
  <pageSetup scale="6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49"/>
  <sheetViews>
    <sheetView showGridLines="0" zoomScaleNormal="100" workbookViewId="0"/>
  </sheetViews>
  <sheetFormatPr defaultRowHeight="12.75" x14ac:dyDescent="0.2"/>
  <cols>
    <col min="1" max="1" width="11.7109375" style="25" customWidth="1"/>
    <col min="2" max="2" width="18.85546875" style="25" bestFit="1" customWidth="1"/>
    <col min="3" max="3" width="22.140625" style="25" bestFit="1" customWidth="1"/>
    <col min="4" max="5" width="25.7109375" style="25" bestFit="1" customWidth="1"/>
    <col min="6" max="6" width="16.7109375" style="25" bestFit="1" customWidth="1"/>
    <col min="7" max="7" width="18.85546875" style="25" bestFit="1" customWidth="1"/>
    <col min="8" max="16384" width="9.140625" style="25"/>
  </cols>
  <sheetData>
    <row r="1" spans="1:8" ht="15.6" customHeight="1" x14ac:dyDescent="0.2">
      <c r="A1" s="24" t="s">
        <v>138</v>
      </c>
      <c r="B1" s="24"/>
      <c r="C1" s="24"/>
      <c r="D1" s="24"/>
      <c r="E1" s="24"/>
      <c r="F1" s="24"/>
      <c r="G1" s="24"/>
      <c r="H1" s="78"/>
    </row>
    <row r="2" spans="1:8" ht="15.6" customHeight="1" x14ac:dyDescent="0.2">
      <c r="A2" s="30" t="s">
        <v>11</v>
      </c>
      <c r="B2" s="47" t="s">
        <v>93</v>
      </c>
      <c r="C2" s="47" t="s">
        <v>94</v>
      </c>
      <c r="D2" s="47" t="s">
        <v>95</v>
      </c>
      <c r="E2" s="47" t="s">
        <v>96</v>
      </c>
      <c r="F2" s="47" t="s">
        <v>97</v>
      </c>
      <c r="G2" s="47" t="s">
        <v>98</v>
      </c>
      <c r="H2" s="78"/>
    </row>
    <row r="3" spans="1:8" ht="15.6" customHeight="1" x14ac:dyDescent="0.2">
      <c r="A3" s="24" t="s">
        <v>12</v>
      </c>
      <c r="B3" s="36"/>
      <c r="C3" s="84"/>
      <c r="D3" s="84"/>
      <c r="E3" s="84"/>
      <c r="F3" s="84"/>
      <c r="G3" s="84"/>
      <c r="H3" s="78"/>
    </row>
    <row r="4" spans="1:8" ht="14.25" x14ac:dyDescent="0.2">
      <c r="A4" s="85"/>
      <c r="B4" s="86" t="s">
        <v>126</v>
      </c>
      <c r="C4" s="86" t="s">
        <v>127</v>
      </c>
      <c r="D4" s="86" t="s">
        <v>129</v>
      </c>
      <c r="E4" s="86" t="s">
        <v>129</v>
      </c>
      <c r="F4" s="86" t="s">
        <v>128</v>
      </c>
      <c r="G4" s="86" t="s">
        <v>126</v>
      </c>
      <c r="H4" s="78"/>
    </row>
    <row r="5" spans="1:8" ht="14.25" x14ac:dyDescent="0.2">
      <c r="A5" s="26"/>
      <c r="B5" s="26"/>
      <c r="C5" s="26"/>
      <c r="D5" s="28"/>
      <c r="E5" s="26"/>
      <c r="F5" s="26"/>
      <c r="G5" s="26"/>
      <c r="H5" s="78"/>
    </row>
    <row r="6" spans="1:8" ht="14.25" x14ac:dyDescent="0.2">
      <c r="A6" s="26" t="s">
        <v>43</v>
      </c>
      <c r="B6" s="87">
        <v>11.3</v>
      </c>
      <c r="C6" s="87">
        <v>161</v>
      </c>
      <c r="D6" s="87">
        <v>23.3</v>
      </c>
      <c r="E6" s="87">
        <v>19.3</v>
      </c>
      <c r="F6" s="87">
        <v>22.5</v>
      </c>
      <c r="G6" s="87">
        <v>12.2</v>
      </c>
      <c r="H6" s="78"/>
    </row>
    <row r="7" spans="1:8" ht="14.25" x14ac:dyDescent="0.2">
      <c r="A7" s="26" t="s">
        <v>54</v>
      </c>
      <c r="B7" s="87">
        <v>12.5</v>
      </c>
      <c r="C7" s="87">
        <v>260</v>
      </c>
      <c r="D7" s="87">
        <v>29.1</v>
      </c>
      <c r="E7" s="87">
        <v>24</v>
      </c>
      <c r="F7" s="87">
        <v>31.8</v>
      </c>
      <c r="G7" s="87">
        <v>13.9</v>
      </c>
      <c r="H7" s="78"/>
    </row>
    <row r="8" spans="1:8" ht="14.25" x14ac:dyDescent="0.2">
      <c r="A8" s="26" t="s">
        <v>66</v>
      </c>
      <c r="B8" s="87">
        <v>14.4</v>
      </c>
      <c r="C8" s="87">
        <v>252</v>
      </c>
      <c r="D8" s="87">
        <v>25.4</v>
      </c>
      <c r="E8" s="87">
        <v>26.5</v>
      </c>
      <c r="F8" s="87">
        <v>30.1</v>
      </c>
      <c r="G8" s="87">
        <v>13.8</v>
      </c>
      <c r="H8" s="78"/>
    </row>
    <row r="9" spans="1:8" ht="14.25" x14ac:dyDescent="0.2">
      <c r="A9" s="26" t="s">
        <v>72</v>
      </c>
      <c r="B9" s="87">
        <v>13</v>
      </c>
      <c r="C9" s="87">
        <v>246</v>
      </c>
      <c r="D9" s="87">
        <v>21.4</v>
      </c>
      <c r="E9" s="87">
        <v>20.6</v>
      </c>
      <c r="F9" s="87">
        <v>24.9</v>
      </c>
      <c r="G9" s="87">
        <v>13.8</v>
      </c>
      <c r="H9" s="78"/>
    </row>
    <row r="10" spans="1:8" ht="14.25" x14ac:dyDescent="0.2">
      <c r="A10" s="26" t="s">
        <v>74</v>
      </c>
      <c r="B10" s="87">
        <v>10.1</v>
      </c>
      <c r="C10" s="87">
        <v>194</v>
      </c>
      <c r="D10" s="87">
        <v>21.7</v>
      </c>
      <c r="E10" s="87">
        <v>16.899999999999999</v>
      </c>
      <c r="F10" s="87">
        <v>22</v>
      </c>
      <c r="G10" s="87">
        <v>11.8</v>
      </c>
      <c r="H10" s="78"/>
    </row>
    <row r="11" spans="1:8" ht="14.25" x14ac:dyDescent="0.2">
      <c r="A11" s="26" t="s">
        <v>75</v>
      </c>
      <c r="B11" s="87">
        <v>8.9499999999999993</v>
      </c>
      <c r="C11" s="87">
        <v>227</v>
      </c>
      <c r="D11" s="87">
        <v>19.600000000000001</v>
      </c>
      <c r="E11" s="87">
        <v>15.6</v>
      </c>
      <c r="F11" s="87">
        <v>19.3</v>
      </c>
      <c r="G11" s="87">
        <v>8.9499999999999993</v>
      </c>
      <c r="H11" s="78"/>
    </row>
    <row r="12" spans="1:8" ht="14.25" x14ac:dyDescent="0.2">
      <c r="A12" s="26" t="s">
        <v>87</v>
      </c>
      <c r="B12" s="87">
        <v>9.4700000000000006</v>
      </c>
      <c r="C12" s="87">
        <v>195</v>
      </c>
      <c r="D12" s="87">
        <v>17.399999999999999</v>
      </c>
      <c r="E12" s="87">
        <v>16.600000000000001</v>
      </c>
      <c r="F12" s="87">
        <v>19.7</v>
      </c>
      <c r="G12" s="87">
        <v>8</v>
      </c>
      <c r="H12" s="78"/>
    </row>
    <row r="13" spans="1:8" ht="14.25" x14ac:dyDescent="0.2">
      <c r="A13" s="26" t="s">
        <v>88</v>
      </c>
      <c r="B13" s="87">
        <v>9.33</v>
      </c>
      <c r="C13" s="87">
        <v>142</v>
      </c>
      <c r="D13" s="87">
        <v>17.2</v>
      </c>
      <c r="E13" s="87">
        <v>17.5</v>
      </c>
      <c r="F13" s="87">
        <v>22.9</v>
      </c>
      <c r="G13" s="87">
        <v>9.5299999999999994</v>
      </c>
      <c r="H13" s="78"/>
    </row>
    <row r="14" spans="1:8" ht="14.25" x14ac:dyDescent="0.2">
      <c r="A14" s="26" t="s">
        <v>112</v>
      </c>
      <c r="B14" s="87">
        <v>8.48</v>
      </c>
      <c r="C14" s="87">
        <v>155</v>
      </c>
      <c r="D14" s="87">
        <v>17.399999999999999</v>
      </c>
      <c r="E14" s="87">
        <v>15.8</v>
      </c>
      <c r="F14" s="87">
        <v>21.5</v>
      </c>
      <c r="G14" s="87">
        <v>9.89</v>
      </c>
      <c r="H14" s="78"/>
    </row>
    <row r="15" spans="1:8" ht="14.25" x14ac:dyDescent="0.2">
      <c r="A15" s="26" t="s">
        <v>114</v>
      </c>
      <c r="B15" s="87">
        <v>8.57</v>
      </c>
      <c r="C15" s="87">
        <v>161</v>
      </c>
      <c r="D15" s="87">
        <v>19.5</v>
      </c>
      <c r="E15" s="87">
        <v>14.8</v>
      </c>
      <c r="F15" s="87">
        <v>20.5</v>
      </c>
      <c r="G15" s="87">
        <v>9.15</v>
      </c>
      <c r="H15" s="78"/>
    </row>
    <row r="16" spans="1:8" ht="16.5" x14ac:dyDescent="0.2">
      <c r="A16" s="26" t="s">
        <v>150</v>
      </c>
      <c r="B16" s="87">
        <v>10.8</v>
      </c>
      <c r="C16" s="87">
        <v>194</v>
      </c>
      <c r="D16" s="87">
        <v>21.3</v>
      </c>
      <c r="E16" s="87">
        <v>18.400000000000002</v>
      </c>
      <c r="F16" s="87">
        <v>21</v>
      </c>
      <c r="G16" s="87">
        <v>11.102000000000002</v>
      </c>
      <c r="H16" s="78"/>
    </row>
    <row r="17" spans="1:8" ht="16.5" x14ac:dyDescent="0.2">
      <c r="A17" s="26" t="s">
        <v>151</v>
      </c>
      <c r="B17" s="87">
        <v>12.35</v>
      </c>
      <c r="C17" s="87">
        <v>235</v>
      </c>
      <c r="D17" s="87">
        <v>30.1</v>
      </c>
      <c r="E17" s="87">
        <v>33</v>
      </c>
      <c r="F17" s="87">
        <v>21.5</v>
      </c>
      <c r="G17" s="87">
        <v>23</v>
      </c>
      <c r="H17" s="78"/>
    </row>
    <row r="18" spans="1:8" ht="14.25" x14ac:dyDescent="0.2">
      <c r="A18" s="30"/>
      <c r="B18" s="88"/>
      <c r="C18" s="89"/>
      <c r="D18" s="90"/>
      <c r="E18" s="90"/>
      <c r="F18" s="91"/>
      <c r="G18" s="92"/>
      <c r="H18" s="79"/>
    </row>
    <row r="19" spans="1:8" ht="15" x14ac:dyDescent="0.25">
      <c r="A19" s="93" t="s">
        <v>114</v>
      </c>
      <c r="B19" s="87"/>
      <c r="C19" s="87"/>
      <c r="D19" s="87"/>
      <c r="E19" s="87"/>
      <c r="F19" s="87"/>
      <c r="G19" s="87"/>
    </row>
    <row r="20" spans="1:8" ht="14.25" x14ac:dyDescent="0.2">
      <c r="A20" s="30" t="s">
        <v>58</v>
      </c>
      <c r="B20" s="87">
        <v>8.35</v>
      </c>
      <c r="C20" s="87">
        <v>148</v>
      </c>
      <c r="D20" s="87">
        <v>18.5</v>
      </c>
      <c r="E20" s="87">
        <v>14.2</v>
      </c>
      <c r="F20" s="87">
        <v>19.8</v>
      </c>
      <c r="G20" s="87">
        <v>8.84</v>
      </c>
    </row>
    <row r="21" spans="1:8" ht="14.25" x14ac:dyDescent="0.2">
      <c r="A21" s="30" t="s">
        <v>45</v>
      </c>
      <c r="B21" s="87">
        <v>8.6</v>
      </c>
      <c r="C21" s="87">
        <v>152</v>
      </c>
      <c r="D21" s="87">
        <v>17.5</v>
      </c>
      <c r="E21" s="87">
        <v>14.2</v>
      </c>
      <c r="F21" s="87">
        <v>20.399999999999999</v>
      </c>
      <c r="G21" s="87">
        <v>9.01</v>
      </c>
    </row>
    <row r="22" spans="1:8" ht="14.25" x14ac:dyDescent="0.2">
      <c r="A22" s="30" t="s">
        <v>46</v>
      </c>
      <c r="B22" s="87">
        <v>8.59</v>
      </c>
      <c r="C22" s="87">
        <v>162</v>
      </c>
      <c r="D22" s="87">
        <v>17.7</v>
      </c>
      <c r="E22" s="87">
        <v>14.3</v>
      </c>
      <c r="F22" s="87">
        <v>19.2</v>
      </c>
      <c r="G22" s="87">
        <v>8.6999999999999993</v>
      </c>
    </row>
    <row r="23" spans="1:8" ht="14.25" x14ac:dyDescent="0.2">
      <c r="A23" s="30" t="s">
        <v>47</v>
      </c>
      <c r="B23" s="87">
        <v>8.6999999999999993</v>
      </c>
      <c r="C23" s="87">
        <v>163</v>
      </c>
      <c r="D23" s="87">
        <v>17.8</v>
      </c>
      <c r="E23" s="87">
        <v>14.7</v>
      </c>
      <c r="F23" s="87">
        <v>19.600000000000001</v>
      </c>
      <c r="G23" s="87">
        <v>8.91</v>
      </c>
    </row>
    <row r="24" spans="1:8" ht="14.25" x14ac:dyDescent="0.2">
      <c r="A24" s="30" t="s">
        <v>48</v>
      </c>
      <c r="B24" s="87">
        <v>8.84</v>
      </c>
      <c r="C24" s="87">
        <v>161</v>
      </c>
      <c r="D24" s="87">
        <v>19.5</v>
      </c>
      <c r="E24" s="87">
        <v>16.100000000000001</v>
      </c>
      <c r="F24" s="87">
        <v>20.9</v>
      </c>
      <c r="G24" s="87">
        <v>8.9700000000000006</v>
      </c>
    </row>
    <row r="25" spans="1:8" ht="14.25" x14ac:dyDescent="0.2">
      <c r="A25" s="30" t="s">
        <v>49</v>
      </c>
      <c r="B25" s="87">
        <v>8.6</v>
      </c>
      <c r="C25" s="87">
        <v>190</v>
      </c>
      <c r="D25" s="87">
        <v>20.399999999999999</v>
      </c>
      <c r="E25" s="87">
        <v>16.100000000000001</v>
      </c>
      <c r="F25" s="87">
        <v>20.5</v>
      </c>
      <c r="G25" s="87">
        <v>10.4</v>
      </c>
    </row>
    <row r="26" spans="1:8" ht="14.25" x14ac:dyDescent="0.2">
      <c r="A26" s="30" t="s">
        <v>50</v>
      </c>
      <c r="B26" s="87">
        <v>8.4700000000000006</v>
      </c>
      <c r="C26" s="87" t="s">
        <v>10</v>
      </c>
      <c r="D26" s="87">
        <v>20.9</v>
      </c>
      <c r="E26" s="87">
        <v>15.7</v>
      </c>
      <c r="F26" s="87">
        <v>20.6</v>
      </c>
      <c r="G26" s="87">
        <v>10.7</v>
      </c>
    </row>
    <row r="27" spans="1:8" ht="14.25" x14ac:dyDescent="0.2">
      <c r="A27" s="30" t="s">
        <v>51</v>
      </c>
      <c r="B27" s="87">
        <v>8.35</v>
      </c>
      <c r="C27" s="87" t="s">
        <v>10</v>
      </c>
      <c r="D27" s="87">
        <v>20.3</v>
      </c>
      <c r="E27" s="87">
        <v>15.2</v>
      </c>
      <c r="F27" s="87">
        <v>20.6</v>
      </c>
      <c r="G27" s="87">
        <v>9.31</v>
      </c>
    </row>
    <row r="28" spans="1:8" ht="14.25" x14ac:dyDescent="0.2">
      <c r="A28" s="30" t="s">
        <v>52</v>
      </c>
      <c r="B28" s="87">
        <v>8.2799999999999994</v>
      </c>
      <c r="C28" s="87" t="s">
        <v>10</v>
      </c>
      <c r="D28" s="87">
        <v>20.5</v>
      </c>
      <c r="E28" s="87">
        <v>14.4</v>
      </c>
      <c r="F28" s="87">
        <v>21.1</v>
      </c>
      <c r="G28" s="87">
        <v>9.57</v>
      </c>
    </row>
    <row r="29" spans="1:8" ht="14.25" x14ac:dyDescent="0.2">
      <c r="A29" s="30" t="s">
        <v>53</v>
      </c>
      <c r="B29" s="87">
        <v>8.34</v>
      </c>
      <c r="C29" s="87" t="s">
        <v>10</v>
      </c>
      <c r="D29" s="87">
        <v>21.7</v>
      </c>
      <c r="E29" s="87">
        <v>15.2</v>
      </c>
      <c r="F29" s="87">
        <v>20.7</v>
      </c>
      <c r="G29" s="87">
        <v>10</v>
      </c>
    </row>
    <row r="30" spans="1:8" ht="14.25" x14ac:dyDescent="0.2">
      <c r="A30" s="30" t="s">
        <v>55</v>
      </c>
      <c r="B30" s="87">
        <v>8.5</v>
      </c>
      <c r="C30" s="87" t="s">
        <v>10</v>
      </c>
      <c r="D30" s="87">
        <v>23.7</v>
      </c>
      <c r="E30" s="87">
        <v>15.5</v>
      </c>
      <c r="F30" s="87">
        <v>20.7</v>
      </c>
      <c r="G30" s="87">
        <v>9.64</v>
      </c>
    </row>
    <row r="31" spans="1:8" ht="14.25" x14ac:dyDescent="0.2">
      <c r="A31" s="30" t="s">
        <v>56</v>
      </c>
      <c r="B31" s="87">
        <v>8.66</v>
      </c>
      <c r="C31" s="87">
        <v>155</v>
      </c>
      <c r="D31" s="87">
        <v>25.8</v>
      </c>
      <c r="E31" s="87">
        <v>15.1</v>
      </c>
      <c r="F31" s="87">
        <v>20.6</v>
      </c>
      <c r="G31" s="87">
        <v>8.56</v>
      </c>
    </row>
    <row r="32" spans="1:8" ht="14.25" x14ac:dyDescent="0.2">
      <c r="A32" s="30"/>
      <c r="B32" s="87"/>
      <c r="C32" s="87"/>
      <c r="D32" s="87"/>
      <c r="E32" s="87"/>
      <c r="F32" s="87"/>
      <c r="G32" s="87"/>
    </row>
    <row r="33" spans="1:7" ht="15" x14ac:dyDescent="0.25">
      <c r="A33" s="93" t="s">
        <v>122</v>
      </c>
      <c r="B33" s="87"/>
      <c r="C33" s="87"/>
      <c r="D33" s="87"/>
      <c r="E33" s="87"/>
      <c r="F33" s="87"/>
      <c r="G33" s="87"/>
    </row>
    <row r="34" spans="1:7" ht="14.25" x14ac:dyDescent="0.2">
      <c r="A34" s="30" t="s">
        <v>58</v>
      </c>
      <c r="B34" s="87">
        <v>9.24</v>
      </c>
      <c r="C34" s="87">
        <v>164</v>
      </c>
      <c r="D34" s="87">
        <v>23.7</v>
      </c>
      <c r="E34" s="87">
        <v>16.399999999999999</v>
      </c>
      <c r="F34" s="87">
        <v>20.5</v>
      </c>
      <c r="G34" s="87">
        <v>9.64</v>
      </c>
    </row>
    <row r="35" spans="1:7" ht="14.25" x14ac:dyDescent="0.2">
      <c r="A35" s="30" t="s">
        <v>45</v>
      </c>
      <c r="B35" s="87">
        <v>9.6300000000000008</v>
      </c>
      <c r="C35" s="87">
        <v>189</v>
      </c>
      <c r="D35" s="87">
        <v>19.100000000000001</v>
      </c>
      <c r="E35" s="87">
        <v>16.2</v>
      </c>
      <c r="F35" s="87">
        <v>20.9</v>
      </c>
      <c r="G35" s="87">
        <v>9.76</v>
      </c>
    </row>
    <row r="36" spans="1:7" ht="14.25" x14ac:dyDescent="0.2">
      <c r="A36" s="30" t="s">
        <v>46</v>
      </c>
      <c r="B36" s="87">
        <v>10.3</v>
      </c>
      <c r="C36" s="87">
        <v>199</v>
      </c>
      <c r="D36" s="87">
        <v>18.899999999999999</v>
      </c>
      <c r="E36" s="87">
        <v>18.100000000000001</v>
      </c>
      <c r="F36" s="87">
        <v>21.2</v>
      </c>
      <c r="G36" s="87">
        <v>10.7</v>
      </c>
    </row>
    <row r="37" spans="1:7" ht="14.25" x14ac:dyDescent="0.2">
      <c r="A37" s="30" t="s">
        <v>47</v>
      </c>
      <c r="B37" s="87">
        <v>10.6</v>
      </c>
      <c r="C37" s="87">
        <v>195</v>
      </c>
      <c r="D37" s="87">
        <v>19.2</v>
      </c>
      <c r="E37" s="87">
        <v>17.2</v>
      </c>
      <c r="F37" s="87">
        <v>20.399999999999999</v>
      </c>
      <c r="G37" s="87">
        <v>10.9</v>
      </c>
    </row>
    <row r="38" spans="1:7" ht="14.25" x14ac:dyDescent="0.2">
      <c r="A38" s="30" t="s">
        <v>48</v>
      </c>
      <c r="B38" s="87">
        <v>10.9</v>
      </c>
      <c r="C38" s="87">
        <v>209</v>
      </c>
      <c r="D38" s="87">
        <v>19.5</v>
      </c>
      <c r="E38" s="87">
        <v>18.8</v>
      </c>
      <c r="F38" s="87">
        <v>20.5</v>
      </c>
      <c r="G38" s="87">
        <v>12</v>
      </c>
    </row>
    <row r="39" spans="1:7" ht="14.25" x14ac:dyDescent="0.2">
      <c r="A39" s="30" t="s">
        <v>49</v>
      </c>
      <c r="B39" s="87">
        <v>12.7</v>
      </c>
      <c r="C39" s="87">
        <v>185</v>
      </c>
      <c r="D39" s="87">
        <v>21.4</v>
      </c>
      <c r="E39" s="87">
        <v>20.399999999999999</v>
      </c>
      <c r="F39" s="87">
        <v>20.5</v>
      </c>
      <c r="G39" s="87">
        <v>13.2</v>
      </c>
    </row>
    <row r="40" spans="1:7" ht="14.25" x14ac:dyDescent="0.2">
      <c r="A40" s="30" t="s">
        <v>50</v>
      </c>
      <c r="B40" s="87">
        <v>13.2</v>
      </c>
      <c r="C40" s="87" t="s">
        <v>10</v>
      </c>
      <c r="D40" s="87">
        <v>21.5</v>
      </c>
      <c r="E40" s="87">
        <v>22</v>
      </c>
      <c r="F40" s="87">
        <v>21.2</v>
      </c>
      <c r="G40" s="87">
        <v>15.7</v>
      </c>
    </row>
    <row r="41" spans="1:7" ht="14.25" x14ac:dyDescent="0.2">
      <c r="A41" s="30" t="s">
        <v>51</v>
      </c>
      <c r="B41" s="87">
        <v>13.9</v>
      </c>
      <c r="C41" s="87" t="s">
        <v>10</v>
      </c>
      <c r="D41" s="87">
        <v>23.7</v>
      </c>
      <c r="E41" s="87">
        <v>23.8</v>
      </c>
      <c r="F41" s="87">
        <v>21.4</v>
      </c>
      <c r="G41" s="87">
        <v>18.100000000000001</v>
      </c>
    </row>
    <row r="42" spans="1:7" ht="14.25" x14ac:dyDescent="0.2">
      <c r="A42" s="30" t="s">
        <v>52</v>
      </c>
      <c r="B42" s="87">
        <v>14.8</v>
      </c>
      <c r="C42" s="87" t="s">
        <v>10</v>
      </c>
      <c r="D42" s="87">
        <v>26.4</v>
      </c>
      <c r="E42" s="87">
        <v>26.1</v>
      </c>
      <c r="F42" s="87">
        <v>21.3</v>
      </c>
      <c r="G42" s="87">
        <v>18.3</v>
      </c>
    </row>
    <row r="43" spans="1:7" ht="14.25" x14ac:dyDescent="0.2">
      <c r="A43" s="30" t="s">
        <v>53</v>
      </c>
      <c r="B43" s="87">
        <v>14.5</v>
      </c>
      <c r="C43" s="87" t="s">
        <v>10</v>
      </c>
      <c r="D43" s="87">
        <v>28.4</v>
      </c>
      <c r="E43" s="87">
        <v>26</v>
      </c>
      <c r="F43" s="87">
        <v>21.3</v>
      </c>
      <c r="G43" s="87">
        <v>19.899999999999999</v>
      </c>
    </row>
    <row r="44" spans="1:7" ht="14.25" x14ac:dyDescent="0.2">
      <c r="A44" s="30" t="s">
        <v>55</v>
      </c>
      <c r="B44" s="87">
        <v>14.1</v>
      </c>
      <c r="C44" s="87" t="s">
        <v>10</v>
      </c>
      <c r="D44" s="87">
        <v>28</v>
      </c>
      <c r="E44" s="87">
        <v>27.7</v>
      </c>
      <c r="F44" s="87">
        <v>21.6</v>
      </c>
      <c r="G44" s="87">
        <v>20.100000000000001</v>
      </c>
    </row>
    <row r="45" spans="1:7" ht="14.25" x14ac:dyDescent="0.2">
      <c r="A45" s="24" t="s">
        <v>56</v>
      </c>
      <c r="B45" s="22">
        <v>13.7</v>
      </c>
      <c r="C45" s="22">
        <v>255</v>
      </c>
      <c r="D45" s="22">
        <v>29.4</v>
      </c>
      <c r="E45" s="22">
        <v>30.9</v>
      </c>
      <c r="F45" s="22">
        <v>21.3</v>
      </c>
      <c r="G45" s="22">
        <v>20.2</v>
      </c>
    </row>
    <row r="46" spans="1:7" ht="16.5" x14ac:dyDescent="0.2">
      <c r="A46" s="26" t="s">
        <v>160</v>
      </c>
      <c r="B46" s="26"/>
      <c r="C46" s="26"/>
      <c r="D46" s="26"/>
      <c r="E46" s="26"/>
      <c r="F46" s="26"/>
      <c r="G46" s="26"/>
    </row>
    <row r="47" spans="1:7" ht="14.25" x14ac:dyDescent="0.2">
      <c r="A47" s="26" t="s">
        <v>44</v>
      </c>
      <c r="B47" s="94"/>
      <c r="C47" s="94"/>
      <c r="D47" s="94"/>
      <c r="E47" s="94"/>
      <c r="F47" s="94"/>
      <c r="G47" s="94"/>
    </row>
    <row r="48" spans="1:7" ht="14.25" x14ac:dyDescent="0.2">
      <c r="A48" s="26" t="s">
        <v>99</v>
      </c>
      <c r="B48" s="26"/>
      <c r="C48" s="26"/>
      <c r="D48" s="26"/>
      <c r="E48" s="26"/>
      <c r="F48" s="26"/>
      <c r="G48" s="26"/>
    </row>
    <row r="49" spans="1:7" ht="14.25" x14ac:dyDescent="0.2">
      <c r="A49" s="32" t="s">
        <v>18</v>
      </c>
      <c r="B49" s="66">
        <f ca="1">NOW()</f>
        <v>44482.587913078707</v>
      </c>
      <c r="C49" s="26"/>
      <c r="D49" s="26"/>
      <c r="E49" s="26"/>
      <c r="F49" s="26"/>
      <c r="G49" s="26"/>
    </row>
  </sheetData>
  <phoneticPr fontId="11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T69"/>
  <sheetViews>
    <sheetView showGridLines="0" zoomScaleNormal="100" workbookViewId="0"/>
  </sheetViews>
  <sheetFormatPr defaultRowHeight="12.75" x14ac:dyDescent="0.2"/>
  <cols>
    <col min="1" max="2" width="11.7109375" style="25" customWidth="1"/>
    <col min="3" max="3" width="11.5703125" style="25" customWidth="1"/>
    <col min="4" max="4" width="13.7109375" style="25" customWidth="1"/>
    <col min="5" max="5" width="10.5703125" style="25" customWidth="1"/>
    <col min="6" max="6" width="11.5703125" style="25" bestFit="1" customWidth="1"/>
    <col min="7" max="7" width="10.7109375" style="25" customWidth="1"/>
    <col min="8" max="9" width="10.5703125" style="25" customWidth="1"/>
    <col min="10" max="11" width="9.140625" style="25"/>
    <col min="12" max="12" width="22.28515625" style="25" bestFit="1" customWidth="1"/>
    <col min="13" max="13" width="20.28515625" style="25" bestFit="1" customWidth="1"/>
    <col min="14" max="16384" width="9.140625" style="25"/>
  </cols>
  <sheetData>
    <row r="1" spans="1:9" ht="14.25" x14ac:dyDescent="0.2">
      <c r="A1" s="24" t="s">
        <v>139</v>
      </c>
      <c r="B1" s="24"/>
      <c r="C1" s="24"/>
      <c r="D1" s="24"/>
      <c r="E1" s="24"/>
      <c r="F1" s="24"/>
      <c r="G1" s="24"/>
      <c r="H1" s="24"/>
      <c r="I1" s="26"/>
    </row>
    <row r="2" spans="1:9" ht="15.6" customHeight="1" x14ac:dyDescent="0.2">
      <c r="A2" s="95" t="s">
        <v>11</v>
      </c>
      <c r="B2" s="47" t="s">
        <v>35</v>
      </c>
      <c r="C2" s="47" t="s">
        <v>13</v>
      </c>
      <c r="D2" s="47" t="s">
        <v>65</v>
      </c>
      <c r="E2" s="96" t="s">
        <v>41</v>
      </c>
      <c r="F2" s="96" t="s">
        <v>36</v>
      </c>
      <c r="G2" s="47" t="s">
        <v>40</v>
      </c>
      <c r="H2" s="47" t="s">
        <v>100</v>
      </c>
      <c r="I2" s="97" t="s">
        <v>39</v>
      </c>
    </row>
    <row r="3" spans="1:9" ht="15.6" customHeight="1" x14ac:dyDescent="0.2">
      <c r="A3" s="98" t="s">
        <v>12</v>
      </c>
      <c r="B3" s="35" t="s">
        <v>101</v>
      </c>
      <c r="C3" s="35" t="s">
        <v>102</v>
      </c>
      <c r="D3" s="35" t="s">
        <v>103</v>
      </c>
      <c r="E3" s="35" t="s">
        <v>103</v>
      </c>
      <c r="F3" s="35" t="s">
        <v>104</v>
      </c>
      <c r="G3" s="35" t="s">
        <v>103</v>
      </c>
      <c r="H3" s="35"/>
      <c r="I3" s="35" t="s">
        <v>105</v>
      </c>
    </row>
    <row r="4" spans="1:9" ht="14.25" x14ac:dyDescent="0.2">
      <c r="A4" s="26"/>
      <c r="B4" s="99" t="s">
        <v>130</v>
      </c>
      <c r="C4" s="100"/>
      <c r="D4" s="100"/>
      <c r="E4" s="100"/>
      <c r="F4" s="100"/>
      <c r="G4" s="100"/>
      <c r="H4" s="100"/>
      <c r="I4" s="100"/>
    </row>
    <row r="5" spans="1:9" ht="14.25" x14ac:dyDescent="0.2">
      <c r="A5" s="26"/>
      <c r="B5" s="26"/>
      <c r="C5" s="26"/>
      <c r="D5" s="26"/>
      <c r="E5" s="26"/>
      <c r="F5" s="26"/>
      <c r="G5" s="26"/>
      <c r="H5" s="26"/>
      <c r="I5" s="26"/>
    </row>
    <row r="6" spans="1:9" ht="14.25" x14ac:dyDescent="0.2">
      <c r="A6" s="26" t="s">
        <v>43</v>
      </c>
      <c r="B6" s="87">
        <v>53.2</v>
      </c>
      <c r="C6" s="87">
        <v>54.5</v>
      </c>
      <c r="D6" s="87">
        <v>86.12</v>
      </c>
      <c r="E6" s="87">
        <v>58.68</v>
      </c>
      <c r="F6" s="87">
        <v>77.239999999999995</v>
      </c>
      <c r="G6" s="87">
        <v>60.76</v>
      </c>
      <c r="H6" s="87">
        <v>51.52</v>
      </c>
      <c r="I6" s="87">
        <v>51.34</v>
      </c>
    </row>
    <row r="7" spans="1:9" ht="14.25" x14ac:dyDescent="0.2">
      <c r="A7" s="26" t="s">
        <v>54</v>
      </c>
      <c r="B7" s="87">
        <v>51.9</v>
      </c>
      <c r="C7" s="87">
        <v>53.22</v>
      </c>
      <c r="D7" s="87">
        <v>83.2</v>
      </c>
      <c r="E7" s="87">
        <v>57.19</v>
      </c>
      <c r="F7" s="87">
        <v>100.15</v>
      </c>
      <c r="G7" s="87">
        <v>56.09</v>
      </c>
      <c r="H7" s="87">
        <v>48.11</v>
      </c>
      <c r="I7" s="87">
        <v>50.33</v>
      </c>
    </row>
    <row r="8" spans="1:9" ht="14.25" x14ac:dyDescent="0.2">
      <c r="A8" s="26" t="s">
        <v>66</v>
      </c>
      <c r="B8" s="87">
        <v>47.13</v>
      </c>
      <c r="C8" s="87">
        <v>48.6</v>
      </c>
      <c r="D8" s="87">
        <v>65.87</v>
      </c>
      <c r="E8" s="87">
        <v>56.17</v>
      </c>
      <c r="F8" s="87">
        <v>91.83</v>
      </c>
      <c r="G8" s="87">
        <v>46.66</v>
      </c>
      <c r="H8" s="87">
        <v>51.8</v>
      </c>
      <c r="I8" s="87">
        <v>43.24</v>
      </c>
    </row>
    <row r="9" spans="1:9" ht="14.25" x14ac:dyDescent="0.2">
      <c r="A9" s="26" t="s">
        <v>72</v>
      </c>
      <c r="B9" s="87">
        <v>38.229999999999997</v>
      </c>
      <c r="C9" s="87">
        <v>60.66</v>
      </c>
      <c r="D9" s="87">
        <v>59.12</v>
      </c>
      <c r="E9" s="87">
        <v>43.7</v>
      </c>
      <c r="F9" s="87">
        <v>68.23</v>
      </c>
      <c r="G9" s="87">
        <v>39.43</v>
      </c>
      <c r="H9" s="87">
        <v>43.93</v>
      </c>
      <c r="I9" s="87">
        <v>39.76</v>
      </c>
    </row>
    <row r="10" spans="1:9" ht="14.25" x14ac:dyDescent="0.2">
      <c r="A10" s="26" t="s">
        <v>74</v>
      </c>
      <c r="B10" s="87">
        <v>31.6</v>
      </c>
      <c r="C10" s="87">
        <v>45.74</v>
      </c>
      <c r="D10" s="87">
        <v>66.72</v>
      </c>
      <c r="E10" s="87">
        <v>37.81</v>
      </c>
      <c r="F10" s="87">
        <v>57.96</v>
      </c>
      <c r="G10" s="87">
        <v>37.479999999999997</v>
      </c>
      <c r="H10" s="87">
        <v>33.43</v>
      </c>
      <c r="I10" s="87">
        <v>31.36</v>
      </c>
    </row>
    <row r="11" spans="1:9" ht="14.25" x14ac:dyDescent="0.2">
      <c r="A11" s="26" t="s">
        <v>75</v>
      </c>
      <c r="B11" s="87">
        <v>29.86</v>
      </c>
      <c r="C11" s="87">
        <v>45.87</v>
      </c>
      <c r="D11" s="87">
        <v>57.81</v>
      </c>
      <c r="E11" s="87">
        <v>35.270000000000003</v>
      </c>
      <c r="F11" s="87">
        <v>58.26</v>
      </c>
      <c r="G11" s="87">
        <v>39.25</v>
      </c>
      <c r="H11" s="87">
        <v>32.229999999999997</v>
      </c>
      <c r="I11" s="87">
        <v>30.07</v>
      </c>
    </row>
    <row r="12" spans="1:9" ht="14.25" x14ac:dyDescent="0.2">
      <c r="A12" s="26" t="s">
        <v>87</v>
      </c>
      <c r="B12" s="87">
        <v>32.549999999999997</v>
      </c>
      <c r="C12" s="87">
        <v>40.92</v>
      </c>
      <c r="D12" s="87">
        <v>53.54</v>
      </c>
      <c r="E12" s="87">
        <v>38.729999999999997</v>
      </c>
      <c r="F12" s="87">
        <v>66.73</v>
      </c>
      <c r="G12" s="87">
        <v>37.43</v>
      </c>
      <c r="H12" s="87">
        <v>33.07</v>
      </c>
      <c r="I12" s="87">
        <v>34.75</v>
      </c>
    </row>
    <row r="13" spans="1:9" ht="14.25" x14ac:dyDescent="0.2">
      <c r="A13" s="26" t="s">
        <v>88</v>
      </c>
      <c r="B13" s="87">
        <v>30.04</v>
      </c>
      <c r="C13" s="87">
        <v>31.87</v>
      </c>
      <c r="D13" s="87">
        <v>54.57</v>
      </c>
      <c r="E13" s="87">
        <v>38.270000000000003</v>
      </c>
      <c r="F13" s="87">
        <v>66.72</v>
      </c>
      <c r="G13" s="87">
        <v>30.35</v>
      </c>
      <c r="H13" s="87">
        <v>34.159999999999997</v>
      </c>
      <c r="I13" s="87">
        <v>31.21</v>
      </c>
    </row>
    <row r="14" spans="1:9" ht="14.25" x14ac:dyDescent="0.2">
      <c r="A14" s="26" t="s">
        <v>112</v>
      </c>
      <c r="B14" s="87">
        <v>28.26</v>
      </c>
      <c r="C14" s="87">
        <v>35.14</v>
      </c>
      <c r="D14" s="87">
        <v>53.28</v>
      </c>
      <c r="E14" s="87">
        <v>36.090000000000003</v>
      </c>
      <c r="F14" s="87">
        <v>64.72</v>
      </c>
      <c r="G14" s="87">
        <v>26.93</v>
      </c>
      <c r="H14" s="87">
        <v>31.65</v>
      </c>
      <c r="I14" s="87">
        <v>33.11</v>
      </c>
    </row>
    <row r="15" spans="1:9" ht="14.25" x14ac:dyDescent="0.2">
      <c r="A15" s="26" t="s">
        <v>114</v>
      </c>
      <c r="B15" s="87">
        <v>29.65</v>
      </c>
      <c r="C15" s="87">
        <v>40.18</v>
      </c>
      <c r="D15" s="87">
        <v>65.03</v>
      </c>
      <c r="E15" s="87">
        <v>37.869999999999997</v>
      </c>
      <c r="F15" s="87">
        <v>62</v>
      </c>
      <c r="G15" s="87">
        <v>39.47</v>
      </c>
      <c r="H15" s="87">
        <v>35.75</v>
      </c>
      <c r="I15" s="87">
        <v>38.369999999999997</v>
      </c>
    </row>
    <row r="16" spans="1:9" ht="16.5" x14ac:dyDescent="0.2">
      <c r="A16" s="26" t="s">
        <v>117</v>
      </c>
      <c r="B16" s="87">
        <v>56.87</v>
      </c>
      <c r="C16" s="87">
        <v>80.94</v>
      </c>
      <c r="D16" s="87">
        <v>79.000000000000014</v>
      </c>
      <c r="E16" s="87">
        <v>70.459999999999994</v>
      </c>
      <c r="F16" s="87">
        <v>106.87</v>
      </c>
      <c r="G16" s="87">
        <v>44</v>
      </c>
      <c r="H16" s="87">
        <v>43.5</v>
      </c>
      <c r="I16" s="87">
        <v>39</v>
      </c>
    </row>
    <row r="17" spans="1:20" ht="16.5" x14ac:dyDescent="0.2">
      <c r="A17" s="26" t="s">
        <v>148</v>
      </c>
      <c r="B17" s="87">
        <v>65</v>
      </c>
      <c r="C17" s="87">
        <v>90</v>
      </c>
      <c r="D17" s="87">
        <v>90</v>
      </c>
      <c r="E17" s="87">
        <v>75</v>
      </c>
      <c r="F17" s="87">
        <v>120</v>
      </c>
      <c r="G17" s="87">
        <v>78</v>
      </c>
      <c r="H17" s="87">
        <v>56</v>
      </c>
      <c r="I17" s="87">
        <v>58</v>
      </c>
    </row>
    <row r="18" spans="1:20" ht="14.25" x14ac:dyDescent="0.2">
      <c r="A18" s="26"/>
      <c r="B18" s="45"/>
      <c r="C18" s="89"/>
      <c r="D18" s="101"/>
      <c r="E18" s="101"/>
      <c r="F18" s="101"/>
      <c r="G18" s="101"/>
      <c r="H18" s="26"/>
      <c r="I18" s="26"/>
    </row>
    <row r="19" spans="1:20" ht="15" x14ac:dyDescent="0.25">
      <c r="A19" s="48" t="s">
        <v>114</v>
      </c>
      <c r="B19" s="87"/>
      <c r="C19" s="87"/>
      <c r="D19" s="87"/>
      <c r="E19" s="87"/>
      <c r="F19" s="87"/>
      <c r="G19" s="87"/>
      <c r="H19" s="87"/>
      <c r="I19" s="87"/>
    </row>
    <row r="20" spans="1:20" ht="14.25" x14ac:dyDescent="0.2">
      <c r="A20" s="30" t="s">
        <v>45</v>
      </c>
      <c r="B20" s="87">
        <v>30.14</v>
      </c>
      <c r="C20" s="87">
        <v>37.94</v>
      </c>
      <c r="D20" s="87">
        <v>56</v>
      </c>
      <c r="E20" s="87">
        <v>36.31</v>
      </c>
      <c r="F20" s="87">
        <v>61.5</v>
      </c>
      <c r="G20" s="87">
        <v>28.3</v>
      </c>
      <c r="H20" s="87" t="s">
        <v>10</v>
      </c>
      <c r="I20" s="87" t="s">
        <v>10</v>
      </c>
    </row>
    <row r="21" spans="1:20" ht="14.25" x14ac:dyDescent="0.2">
      <c r="A21" s="30" t="s">
        <v>46</v>
      </c>
      <c r="B21" s="87">
        <v>30.62</v>
      </c>
      <c r="C21" s="87">
        <v>38.4</v>
      </c>
      <c r="D21" s="87">
        <v>56</v>
      </c>
      <c r="E21" s="87">
        <v>36.15</v>
      </c>
      <c r="F21" s="87">
        <v>63.1</v>
      </c>
      <c r="G21" s="87">
        <v>30.36</v>
      </c>
      <c r="H21" s="87" t="s">
        <v>10</v>
      </c>
      <c r="I21" s="87">
        <v>35</v>
      </c>
    </row>
    <row r="22" spans="1:20" ht="14.25" x14ac:dyDescent="0.2">
      <c r="A22" s="30" t="s">
        <v>47</v>
      </c>
      <c r="B22" s="87">
        <v>32.270000000000003</v>
      </c>
      <c r="C22" s="87">
        <v>40.25</v>
      </c>
      <c r="D22" s="87">
        <v>76</v>
      </c>
      <c r="E22" s="87">
        <v>38.06</v>
      </c>
      <c r="F22" s="87">
        <v>60.13</v>
      </c>
      <c r="G22" s="87">
        <v>31.25</v>
      </c>
      <c r="H22" s="87" t="s">
        <v>10</v>
      </c>
      <c r="I22" s="87" t="s">
        <v>10</v>
      </c>
    </row>
    <row r="23" spans="1:20" ht="14.25" x14ac:dyDescent="0.2">
      <c r="A23" s="30" t="s">
        <v>48</v>
      </c>
      <c r="B23" s="87">
        <v>33.04</v>
      </c>
      <c r="C23" s="87">
        <v>40.1</v>
      </c>
      <c r="D23" s="87">
        <v>70</v>
      </c>
      <c r="E23" s="87">
        <v>37.9</v>
      </c>
      <c r="F23" s="87">
        <v>59</v>
      </c>
      <c r="G23" s="87">
        <v>33.299999999999997</v>
      </c>
      <c r="H23" s="87" t="s">
        <v>10</v>
      </c>
      <c r="I23" s="87">
        <v>36.14</v>
      </c>
    </row>
    <row r="24" spans="1:20" ht="14.25" x14ac:dyDescent="0.2">
      <c r="A24" s="30" t="s">
        <v>49</v>
      </c>
      <c r="B24" s="87">
        <v>30.26</v>
      </c>
      <c r="C24" s="87">
        <v>38.5</v>
      </c>
      <c r="D24" s="87">
        <v>70</v>
      </c>
      <c r="E24" s="87">
        <v>35.5</v>
      </c>
      <c r="F24" s="87">
        <v>59</v>
      </c>
      <c r="G24" s="87">
        <v>36</v>
      </c>
      <c r="H24" s="87" t="s">
        <v>10</v>
      </c>
      <c r="I24" s="87">
        <v>38.21</v>
      </c>
    </row>
    <row r="25" spans="1:20" ht="14.25" x14ac:dyDescent="0.2">
      <c r="A25" s="30" t="s">
        <v>50</v>
      </c>
      <c r="B25" s="87">
        <v>27.04</v>
      </c>
      <c r="C25" s="87">
        <v>36.19</v>
      </c>
      <c r="D25" s="87">
        <v>76</v>
      </c>
      <c r="E25" s="87">
        <v>32.880000000000003</v>
      </c>
      <c r="F25" s="87">
        <v>59.75</v>
      </c>
      <c r="G25" s="87">
        <v>36.94</v>
      </c>
      <c r="H25" s="87" t="s">
        <v>10</v>
      </c>
      <c r="I25" s="87">
        <v>35.5</v>
      </c>
      <c r="N25" s="102"/>
      <c r="O25" s="102"/>
      <c r="P25" s="102"/>
      <c r="Q25" s="102"/>
      <c r="R25" s="102"/>
      <c r="S25" s="102"/>
      <c r="T25" s="102"/>
    </row>
    <row r="26" spans="1:20" ht="14.25" x14ac:dyDescent="0.2">
      <c r="A26" s="30" t="s">
        <v>51</v>
      </c>
      <c r="B26" s="87">
        <v>25.69</v>
      </c>
      <c r="C26" s="87">
        <v>37.31</v>
      </c>
      <c r="D26" s="87">
        <v>76</v>
      </c>
      <c r="E26" s="87">
        <v>32.380000000000003</v>
      </c>
      <c r="F26" s="87">
        <v>59.5</v>
      </c>
      <c r="G26" s="87">
        <v>44.88</v>
      </c>
      <c r="H26" s="87">
        <v>32</v>
      </c>
      <c r="I26" s="87">
        <v>37.18</v>
      </c>
    </row>
    <row r="27" spans="1:20" ht="14.25" x14ac:dyDescent="0.2">
      <c r="A27" s="30" t="s">
        <v>52</v>
      </c>
      <c r="B27" s="87">
        <v>25.27</v>
      </c>
      <c r="C27" s="87">
        <v>37.200000000000003</v>
      </c>
      <c r="D27" s="87">
        <v>74</v>
      </c>
      <c r="E27" s="87">
        <v>32.4</v>
      </c>
      <c r="F27" s="87">
        <v>62.1</v>
      </c>
      <c r="G27" s="87">
        <v>47.64</v>
      </c>
      <c r="H27" s="87">
        <v>35.5</v>
      </c>
      <c r="I27" s="87">
        <v>43.95</v>
      </c>
    </row>
    <row r="28" spans="1:20" ht="14.25" x14ac:dyDescent="0.2">
      <c r="A28" s="30" t="s">
        <v>53</v>
      </c>
      <c r="B28" s="87">
        <v>26.61</v>
      </c>
      <c r="C28" s="87">
        <v>36.75</v>
      </c>
      <c r="D28" s="87">
        <v>56</v>
      </c>
      <c r="E28" s="87">
        <v>36.630000000000003</v>
      </c>
      <c r="F28" s="87">
        <v>84.75</v>
      </c>
      <c r="G28" s="87">
        <v>51.34</v>
      </c>
      <c r="H28" s="87">
        <v>36.5</v>
      </c>
      <c r="I28" s="87">
        <v>41.92</v>
      </c>
    </row>
    <row r="29" spans="1:20" ht="14.25" x14ac:dyDescent="0.2">
      <c r="A29" s="30" t="s">
        <v>55</v>
      </c>
      <c r="B29" s="87">
        <v>28.71</v>
      </c>
      <c r="C29" s="87">
        <v>43</v>
      </c>
      <c r="D29" s="87">
        <v>56.4</v>
      </c>
      <c r="E29" s="87">
        <v>40.5</v>
      </c>
      <c r="F29" s="87">
        <v>85</v>
      </c>
      <c r="G29" s="87">
        <v>45.45</v>
      </c>
      <c r="H29" s="87" t="s">
        <v>10</v>
      </c>
      <c r="I29" s="87">
        <v>39.43</v>
      </c>
    </row>
    <row r="30" spans="1:20" ht="14.25" x14ac:dyDescent="0.2">
      <c r="A30" s="30" t="s">
        <v>56</v>
      </c>
      <c r="B30" s="87">
        <v>32.130000000000003</v>
      </c>
      <c r="C30" s="87">
        <v>46.81</v>
      </c>
      <c r="D30" s="87">
        <v>57</v>
      </c>
      <c r="E30" s="87">
        <v>47.81</v>
      </c>
      <c r="F30" s="87">
        <v>90</v>
      </c>
      <c r="G30" s="87">
        <v>44.75</v>
      </c>
      <c r="H30" s="87">
        <v>39</v>
      </c>
      <c r="I30" s="87">
        <v>39.33</v>
      </c>
    </row>
    <row r="31" spans="1:20" ht="14.25" x14ac:dyDescent="0.2">
      <c r="A31" s="30" t="s">
        <v>58</v>
      </c>
      <c r="B31" s="87">
        <v>34.200000000000003</v>
      </c>
      <c r="C31" s="87">
        <v>49.69</v>
      </c>
      <c r="D31" s="87">
        <v>57</v>
      </c>
      <c r="E31" s="87">
        <v>47.94</v>
      </c>
      <c r="F31" s="87">
        <v>90</v>
      </c>
      <c r="G31" s="87">
        <v>43.38</v>
      </c>
      <c r="H31" s="87" t="s">
        <v>10</v>
      </c>
      <c r="I31" s="87">
        <v>37</v>
      </c>
    </row>
    <row r="32" spans="1:20" ht="14.25" x14ac:dyDescent="0.2">
      <c r="A32" s="30"/>
      <c r="B32" s="87"/>
      <c r="C32" s="87"/>
      <c r="D32" s="87"/>
      <c r="E32" s="87"/>
      <c r="F32" s="87"/>
      <c r="G32" s="87"/>
      <c r="H32" s="87"/>
      <c r="I32" s="87"/>
    </row>
    <row r="33" spans="1:10" ht="15" x14ac:dyDescent="0.25">
      <c r="A33" s="48" t="s">
        <v>122</v>
      </c>
      <c r="B33" s="87"/>
      <c r="C33" s="87"/>
      <c r="D33" s="87"/>
      <c r="E33" s="87"/>
      <c r="F33" s="87"/>
      <c r="G33" s="87"/>
      <c r="H33" s="87"/>
      <c r="I33" s="87"/>
    </row>
    <row r="34" spans="1:10" ht="14.25" x14ac:dyDescent="0.2">
      <c r="A34" s="30" t="s">
        <v>45</v>
      </c>
      <c r="B34" s="87">
        <v>33.909999999999997</v>
      </c>
      <c r="C34" s="87">
        <v>48.35</v>
      </c>
      <c r="D34" s="87">
        <v>57</v>
      </c>
      <c r="E34" s="87">
        <v>44.35</v>
      </c>
      <c r="F34" s="87">
        <v>93</v>
      </c>
      <c r="G34" s="87">
        <v>42.4375</v>
      </c>
      <c r="H34" s="87" t="s">
        <v>10</v>
      </c>
      <c r="I34" s="87">
        <v>34.5</v>
      </c>
    </row>
    <row r="35" spans="1:10" ht="14.25" x14ac:dyDescent="0.2">
      <c r="A35" s="30" t="s">
        <v>46</v>
      </c>
      <c r="B35" s="87">
        <v>37.79</v>
      </c>
      <c r="C35" s="87">
        <v>54.4375</v>
      </c>
      <c r="D35" s="87" t="s">
        <v>10</v>
      </c>
      <c r="E35" s="87">
        <v>49.5</v>
      </c>
      <c r="F35" s="87">
        <v>98.75</v>
      </c>
      <c r="G35" s="87">
        <v>42.524999999999999</v>
      </c>
      <c r="H35" s="87">
        <v>41</v>
      </c>
      <c r="I35" s="87">
        <v>34</v>
      </c>
    </row>
    <row r="36" spans="1:10" ht="14.25" x14ac:dyDescent="0.2">
      <c r="A36" s="30" t="s">
        <v>47</v>
      </c>
      <c r="B36" s="87">
        <v>40.85</v>
      </c>
      <c r="C36" s="87">
        <v>59.2</v>
      </c>
      <c r="D36" s="87" t="s">
        <v>10</v>
      </c>
      <c r="E36" s="87">
        <v>51.65</v>
      </c>
      <c r="F36" s="87">
        <v>100</v>
      </c>
      <c r="G36" s="87">
        <v>41.725000000000001</v>
      </c>
      <c r="H36" s="87" t="s">
        <v>10</v>
      </c>
      <c r="I36" s="87">
        <v>36.25</v>
      </c>
    </row>
    <row r="37" spans="1:10" ht="14.25" x14ac:dyDescent="0.2">
      <c r="A37" s="30" t="s">
        <v>48</v>
      </c>
      <c r="B37" s="87">
        <v>44.31</v>
      </c>
      <c r="C37" s="87">
        <v>63.1875</v>
      </c>
      <c r="D37" s="87" t="s">
        <v>10</v>
      </c>
      <c r="E37" s="87">
        <v>53.3125</v>
      </c>
      <c r="F37" s="87">
        <v>90</v>
      </c>
      <c r="G37" s="87">
        <v>43.337499999999999</v>
      </c>
      <c r="H37" s="87" t="s">
        <v>10</v>
      </c>
      <c r="I37" s="87">
        <v>48.129999999999995</v>
      </c>
    </row>
    <row r="38" spans="1:10" ht="14.25" x14ac:dyDescent="0.2">
      <c r="A38" s="30" t="s">
        <v>49</v>
      </c>
      <c r="B38" s="87">
        <v>48.37</v>
      </c>
      <c r="C38" s="87">
        <v>73.625</v>
      </c>
      <c r="D38" s="87" t="s">
        <v>10</v>
      </c>
      <c r="E38" s="87">
        <v>58.9375</v>
      </c>
      <c r="F38" s="87">
        <v>93</v>
      </c>
      <c r="G38" s="87">
        <v>44.945</v>
      </c>
      <c r="H38" s="87" t="s">
        <v>10</v>
      </c>
      <c r="I38" s="87">
        <v>53.125</v>
      </c>
    </row>
    <row r="39" spans="1:10" ht="14.25" x14ac:dyDescent="0.2">
      <c r="A39" s="30" t="s">
        <v>50</v>
      </c>
      <c r="B39" s="87">
        <v>56</v>
      </c>
      <c r="C39" s="87">
        <v>86.9375</v>
      </c>
      <c r="D39" s="87" t="s">
        <v>10</v>
      </c>
      <c r="E39" s="87">
        <v>71.3125</v>
      </c>
      <c r="F39" s="87">
        <v>105.25</v>
      </c>
      <c r="G39" s="87">
        <v>52.05</v>
      </c>
      <c r="H39" s="87">
        <v>55</v>
      </c>
      <c r="I39" s="87">
        <v>55.943333333333328</v>
      </c>
    </row>
    <row r="40" spans="1:10" ht="14.25" x14ac:dyDescent="0.2">
      <c r="A40" s="30" t="s">
        <v>51</v>
      </c>
      <c r="B40" s="87">
        <v>62.88</v>
      </c>
      <c r="C40" s="87">
        <v>92.65</v>
      </c>
      <c r="D40" s="87">
        <v>83</v>
      </c>
      <c r="E40" s="87">
        <v>79.55</v>
      </c>
      <c r="F40" s="87">
        <v>109.2</v>
      </c>
      <c r="G40" s="87">
        <v>59.8125</v>
      </c>
      <c r="H40" s="87" t="s">
        <v>10</v>
      </c>
      <c r="I40" s="87">
        <v>59.3825</v>
      </c>
    </row>
    <row r="41" spans="1:10" ht="14.25" x14ac:dyDescent="0.2">
      <c r="A41" s="30" t="s">
        <v>52</v>
      </c>
      <c r="B41" s="87">
        <v>74.75</v>
      </c>
      <c r="C41" s="87">
        <v>102.1875</v>
      </c>
      <c r="D41" s="87">
        <v>83</v>
      </c>
      <c r="E41" s="87">
        <v>94.0625</v>
      </c>
      <c r="F41" s="87">
        <v>110</v>
      </c>
      <c r="G41" s="87">
        <v>68.25</v>
      </c>
      <c r="H41" s="87">
        <v>58</v>
      </c>
      <c r="I41" s="87">
        <v>64.724999999999994</v>
      </c>
      <c r="J41" s="106"/>
    </row>
    <row r="42" spans="1:10" ht="14.25" x14ac:dyDescent="0.2">
      <c r="A42" s="30" t="s">
        <v>53</v>
      </c>
      <c r="B42" s="87">
        <v>74.75</v>
      </c>
      <c r="C42" s="87">
        <v>100.6875</v>
      </c>
      <c r="D42" s="87" t="s">
        <v>10</v>
      </c>
      <c r="E42" s="87">
        <v>93.5</v>
      </c>
      <c r="F42" s="87">
        <v>108.1875</v>
      </c>
      <c r="G42" s="87">
        <v>67.599999999999994</v>
      </c>
      <c r="H42" s="87" t="s">
        <v>10</v>
      </c>
      <c r="I42" s="87">
        <v>63.666666666666664</v>
      </c>
    </row>
    <row r="43" spans="1:10" ht="14.25" x14ac:dyDescent="0.2">
      <c r="A43" s="30" t="s">
        <v>55</v>
      </c>
      <c r="B43" s="87">
        <v>72.930000000000007</v>
      </c>
      <c r="C43" s="87">
        <v>99.9</v>
      </c>
      <c r="D43" s="87" t="s">
        <v>10</v>
      </c>
      <c r="E43" s="87">
        <v>92.3</v>
      </c>
      <c r="F43" s="87">
        <v>106</v>
      </c>
      <c r="G43" s="87">
        <v>66.094999999999999</v>
      </c>
      <c r="H43" s="87" t="s">
        <v>10</v>
      </c>
      <c r="I43" s="87">
        <v>66.333333333333329</v>
      </c>
    </row>
    <row r="44" spans="1:10" ht="14.25" x14ac:dyDescent="0.2">
      <c r="A44" s="30" t="s">
        <v>56</v>
      </c>
      <c r="B44" s="87">
        <v>70.010000000000005</v>
      </c>
      <c r="C44" s="87">
        <v>96.5</v>
      </c>
      <c r="D44" s="87" t="s">
        <v>10</v>
      </c>
      <c r="E44" s="87">
        <v>81</v>
      </c>
      <c r="F44" s="87">
        <v>108.75</v>
      </c>
      <c r="G44" s="87">
        <v>64.156000000000006</v>
      </c>
      <c r="H44" s="87">
        <v>72.333333333333329</v>
      </c>
      <c r="I44" s="87">
        <v>72</v>
      </c>
    </row>
    <row r="45" spans="1:10" ht="14.25" x14ac:dyDescent="0.2">
      <c r="A45" s="24" t="s">
        <v>58</v>
      </c>
      <c r="B45" s="22">
        <v>65.930000000000007</v>
      </c>
      <c r="C45" s="22">
        <v>93.625</v>
      </c>
      <c r="D45" s="22" t="s">
        <v>10</v>
      </c>
      <c r="E45" s="22">
        <v>76</v>
      </c>
      <c r="F45" s="22">
        <v>105</v>
      </c>
      <c r="G45" s="22">
        <v>53.184999999999995</v>
      </c>
      <c r="H45" s="22" t="s">
        <v>10</v>
      </c>
      <c r="I45" s="22">
        <v>71.75</v>
      </c>
    </row>
    <row r="46" spans="1:10" ht="16.5" x14ac:dyDescent="0.2">
      <c r="A46" s="77" t="s">
        <v>157</v>
      </c>
      <c r="B46" s="104"/>
      <c r="C46" s="104"/>
      <c r="D46" s="104"/>
      <c r="E46" s="104"/>
      <c r="F46" s="104"/>
      <c r="G46" s="104"/>
      <c r="H46" s="104"/>
      <c r="I46" s="104"/>
    </row>
    <row r="47" spans="1:10" ht="16.5" x14ac:dyDescent="0.2">
      <c r="A47" s="26" t="s">
        <v>143</v>
      </c>
      <c r="B47" s="104"/>
      <c r="C47" s="104"/>
      <c r="D47" s="104"/>
      <c r="E47" s="104"/>
      <c r="F47" s="104"/>
      <c r="G47" s="104"/>
      <c r="H47" s="104"/>
      <c r="I47" s="104"/>
    </row>
    <row r="48" spans="1:10" ht="14.25" x14ac:dyDescent="0.2">
      <c r="A48" s="26" t="s">
        <v>183</v>
      </c>
      <c r="B48" s="26"/>
      <c r="C48" s="26"/>
      <c r="D48" s="26"/>
      <c r="E48" s="26"/>
      <c r="F48" s="104"/>
      <c r="G48" s="26"/>
      <c r="H48" s="26"/>
      <c r="I48" s="26"/>
    </row>
    <row r="49" spans="1:9" ht="14.25" x14ac:dyDescent="0.2">
      <c r="A49" s="32" t="s">
        <v>18</v>
      </c>
      <c r="B49" s="66">
        <f ca="1">NOW()</f>
        <v>44482.587913078707</v>
      </c>
      <c r="C49" s="26"/>
      <c r="D49" s="26"/>
      <c r="E49" s="26"/>
      <c r="F49" s="26"/>
      <c r="G49" s="26"/>
      <c r="H49" s="26"/>
      <c r="I49" s="26"/>
    </row>
    <row r="50" spans="1:9" ht="15.75" x14ac:dyDescent="0.25">
      <c r="C50" s="105"/>
      <c r="G50" s="105"/>
      <c r="H50" s="105"/>
      <c r="I50" s="105"/>
    </row>
    <row r="51" spans="1:9" ht="15.75" x14ac:dyDescent="0.25">
      <c r="B51" s="106"/>
      <c r="C51" s="105"/>
      <c r="G51" s="105"/>
      <c r="H51" s="105"/>
      <c r="I51" s="105"/>
    </row>
    <row r="52" spans="1:9" ht="15.75" x14ac:dyDescent="0.25">
      <c r="B52" s="106"/>
      <c r="C52" s="153"/>
      <c r="G52" s="105"/>
      <c r="H52" s="105"/>
      <c r="I52" s="105"/>
    </row>
    <row r="53" spans="1:9" ht="15.75" x14ac:dyDescent="0.25">
      <c r="C53" s="105"/>
      <c r="G53" s="105"/>
      <c r="H53" s="105"/>
      <c r="I53" s="105"/>
    </row>
    <row r="54" spans="1:9" ht="15.75" x14ac:dyDescent="0.25">
      <c r="C54" s="105"/>
      <c r="G54" s="105"/>
      <c r="H54" s="105"/>
      <c r="I54" s="105"/>
    </row>
    <row r="55" spans="1:9" ht="15.75" x14ac:dyDescent="0.25">
      <c r="C55" s="105"/>
      <c r="G55" s="105"/>
      <c r="H55" s="105"/>
      <c r="I55" s="105"/>
    </row>
    <row r="56" spans="1:9" ht="15.75" x14ac:dyDescent="0.25">
      <c r="C56" s="105"/>
      <c r="G56" s="105"/>
      <c r="H56" s="105"/>
      <c r="I56" s="105"/>
    </row>
    <row r="57" spans="1:9" ht="15.75" x14ac:dyDescent="0.25">
      <c r="C57" s="105"/>
      <c r="G57" s="105"/>
      <c r="H57" s="105"/>
      <c r="I57" s="105"/>
    </row>
    <row r="58" spans="1:9" ht="15.75" x14ac:dyDescent="0.25">
      <c r="C58" s="105"/>
      <c r="G58" s="105"/>
      <c r="H58" s="105"/>
      <c r="I58" s="105"/>
    </row>
    <row r="59" spans="1:9" ht="15.75" x14ac:dyDescent="0.25">
      <c r="C59" s="105"/>
      <c r="G59" s="105"/>
      <c r="H59" s="105"/>
      <c r="I59" s="105"/>
    </row>
    <row r="60" spans="1:9" ht="15.75" x14ac:dyDescent="0.25">
      <c r="C60" s="105"/>
      <c r="G60" s="105"/>
      <c r="H60" s="105"/>
      <c r="I60" s="105"/>
    </row>
    <row r="61" spans="1:9" ht="15.75" x14ac:dyDescent="0.25">
      <c r="C61" s="105"/>
      <c r="G61" s="105"/>
      <c r="H61" s="105"/>
      <c r="I61" s="105"/>
    </row>
    <row r="62" spans="1:9" ht="15.75" x14ac:dyDescent="0.25">
      <c r="C62" s="105"/>
      <c r="G62" s="105"/>
      <c r="H62" s="105"/>
      <c r="I62" s="105"/>
    </row>
    <row r="63" spans="1:9" ht="15.75" x14ac:dyDescent="0.25">
      <c r="C63" s="105"/>
      <c r="G63" s="105"/>
      <c r="H63" s="105"/>
      <c r="I63" s="105"/>
    </row>
    <row r="64" spans="1:9" ht="15.75" x14ac:dyDescent="0.25">
      <c r="C64" s="105"/>
      <c r="G64" s="105"/>
      <c r="H64" s="105"/>
      <c r="I64" s="105"/>
    </row>
    <row r="65" spans="3:9" ht="15.75" x14ac:dyDescent="0.25">
      <c r="C65" s="105"/>
      <c r="G65" s="105"/>
      <c r="H65" s="105"/>
      <c r="I65" s="105"/>
    </row>
    <row r="66" spans="3:9" ht="15.75" x14ac:dyDescent="0.25">
      <c r="C66" s="105"/>
      <c r="H66" s="105"/>
      <c r="I66" s="105"/>
    </row>
    <row r="67" spans="3:9" ht="15.75" x14ac:dyDescent="0.25">
      <c r="C67" s="105"/>
      <c r="H67" s="105"/>
      <c r="I67" s="105"/>
    </row>
    <row r="68" spans="3:9" ht="15.75" x14ac:dyDescent="0.25">
      <c r="C68" s="105"/>
      <c r="F68" s="106"/>
      <c r="H68" s="105"/>
      <c r="I68" s="105"/>
    </row>
    <row r="69" spans="3:9" ht="15.75" x14ac:dyDescent="0.25">
      <c r="F69" s="106"/>
      <c r="H69" s="105"/>
      <c r="I69" s="105"/>
    </row>
  </sheetData>
  <phoneticPr fontId="11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E61"/>
  <sheetViews>
    <sheetView showGridLines="0" zoomScaleNormal="100" workbookViewId="0"/>
  </sheetViews>
  <sheetFormatPr defaultRowHeight="12.75" x14ac:dyDescent="0.2"/>
  <cols>
    <col min="1" max="1" width="11.7109375" style="25" customWidth="1"/>
    <col min="2" max="7" width="13.7109375" style="25" customWidth="1"/>
    <col min="8" max="8" width="10.140625" style="25" bestFit="1" customWidth="1"/>
    <col min="9" max="9" width="9.140625" style="25"/>
    <col min="10" max="10" width="20.28515625" style="25" bestFit="1" customWidth="1"/>
    <col min="11" max="13" width="9.140625" style="25"/>
    <col min="14" max="14" width="8.85546875" style="25" customWidth="1"/>
    <col min="15" max="15" width="18" style="25" bestFit="1" customWidth="1"/>
    <col min="16" max="16384" width="9.140625" style="25"/>
  </cols>
  <sheetData>
    <row r="1" spans="1:31" ht="14.25" x14ac:dyDescent="0.2">
      <c r="A1" s="24" t="s">
        <v>140</v>
      </c>
      <c r="B1" s="24"/>
      <c r="C1" s="24"/>
      <c r="D1" s="24"/>
      <c r="E1" s="24"/>
      <c r="F1" s="24"/>
      <c r="G1" s="24"/>
    </row>
    <row r="2" spans="1:31" ht="15.6" customHeight="1" x14ac:dyDescent="0.2">
      <c r="A2" s="30" t="s">
        <v>11</v>
      </c>
      <c r="B2" s="47" t="s">
        <v>35</v>
      </c>
      <c r="C2" s="107" t="s">
        <v>13</v>
      </c>
      <c r="D2" s="107" t="s">
        <v>65</v>
      </c>
      <c r="E2" s="107" t="s">
        <v>36</v>
      </c>
      <c r="F2" s="47" t="s">
        <v>37</v>
      </c>
      <c r="G2" s="28" t="s">
        <v>38</v>
      </c>
      <c r="AE2" s="108"/>
    </row>
    <row r="3" spans="1:31" ht="15.6" customHeight="1" x14ac:dyDescent="0.2">
      <c r="A3" s="24" t="s">
        <v>12</v>
      </c>
      <c r="B3" s="35" t="s">
        <v>106</v>
      </c>
      <c r="C3" s="35" t="s">
        <v>107</v>
      </c>
      <c r="D3" s="35" t="s">
        <v>108</v>
      </c>
      <c r="E3" s="35" t="s">
        <v>109</v>
      </c>
      <c r="F3" s="35" t="s">
        <v>110</v>
      </c>
      <c r="G3" s="35" t="s">
        <v>111</v>
      </c>
      <c r="AE3" s="108"/>
    </row>
    <row r="4" spans="1:31" ht="14.25" x14ac:dyDescent="0.2">
      <c r="A4" s="26"/>
      <c r="B4" s="99" t="s">
        <v>131</v>
      </c>
      <c r="C4" s="100"/>
      <c r="D4" s="100"/>
      <c r="E4" s="100"/>
      <c r="F4" s="100"/>
      <c r="G4" s="100"/>
      <c r="AE4" s="108"/>
    </row>
    <row r="5" spans="1:31" ht="14.25" x14ac:dyDescent="0.2">
      <c r="A5" s="26"/>
      <c r="B5" s="26"/>
      <c r="C5" s="26"/>
      <c r="D5" s="26"/>
      <c r="E5" s="26"/>
      <c r="F5" s="26"/>
      <c r="G5" s="26"/>
      <c r="AE5" s="108"/>
    </row>
    <row r="6" spans="1:31" ht="14.25" x14ac:dyDescent="0.2">
      <c r="A6" s="26" t="s">
        <v>43</v>
      </c>
      <c r="B6" s="87">
        <v>345.52</v>
      </c>
      <c r="C6" s="87">
        <v>273.83999999999997</v>
      </c>
      <c r="D6" s="87">
        <v>219.72</v>
      </c>
      <c r="E6" s="109" t="s">
        <v>10</v>
      </c>
      <c r="F6" s="87">
        <v>263.63</v>
      </c>
      <c r="G6" s="87">
        <v>240.65</v>
      </c>
      <c r="AE6" s="108"/>
    </row>
    <row r="7" spans="1:31" ht="14.25" x14ac:dyDescent="0.2">
      <c r="A7" s="26" t="s">
        <v>54</v>
      </c>
      <c r="B7" s="87">
        <v>393.53</v>
      </c>
      <c r="C7" s="87">
        <v>275.13</v>
      </c>
      <c r="D7" s="87">
        <v>246.75</v>
      </c>
      <c r="E7" s="109" t="s">
        <v>10</v>
      </c>
      <c r="F7" s="87">
        <v>307.58999999999997</v>
      </c>
      <c r="G7" s="87">
        <v>265.68</v>
      </c>
      <c r="AE7" s="108"/>
    </row>
    <row r="8" spans="1:31" ht="14.25" x14ac:dyDescent="0.2">
      <c r="A8" s="26" t="s">
        <v>66</v>
      </c>
      <c r="B8" s="87">
        <v>468.11</v>
      </c>
      <c r="C8" s="87">
        <v>331.52</v>
      </c>
      <c r="D8" s="87">
        <v>241.57</v>
      </c>
      <c r="E8" s="109" t="s">
        <v>10</v>
      </c>
      <c r="F8" s="87">
        <v>354.22</v>
      </c>
      <c r="G8" s="87">
        <v>329.31</v>
      </c>
      <c r="AE8" s="108"/>
    </row>
    <row r="9" spans="1:31" ht="14.25" x14ac:dyDescent="0.2">
      <c r="A9" s="26" t="s">
        <v>72</v>
      </c>
      <c r="B9" s="87">
        <v>489.94</v>
      </c>
      <c r="C9" s="87">
        <v>377.71</v>
      </c>
      <c r="D9" s="87">
        <v>238.87</v>
      </c>
      <c r="E9" s="109" t="s">
        <v>10</v>
      </c>
      <c r="F9" s="87">
        <v>359.7</v>
      </c>
      <c r="G9" s="87">
        <v>337.23</v>
      </c>
      <c r="AE9" s="108"/>
    </row>
    <row r="10" spans="1:31" ht="14.25" x14ac:dyDescent="0.2">
      <c r="A10" s="26" t="s">
        <v>74</v>
      </c>
      <c r="B10" s="87">
        <v>368.49</v>
      </c>
      <c r="C10" s="87">
        <v>304.27</v>
      </c>
      <c r="D10" s="87">
        <v>209.97</v>
      </c>
      <c r="E10" s="109" t="s">
        <v>10</v>
      </c>
      <c r="F10" s="87">
        <v>301.2</v>
      </c>
      <c r="G10" s="87">
        <v>256.58</v>
      </c>
      <c r="AE10" s="108"/>
    </row>
    <row r="11" spans="1:31" ht="14.25" x14ac:dyDescent="0.2">
      <c r="A11" s="26" t="s">
        <v>75</v>
      </c>
      <c r="B11" s="87">
        <v>324.56</v>
      </c>
      <c r="C11" s="87">
        <v>261.19</v>
      </c>
      <c r="D11" s="87">
        <v>153.16999999999999</v>
      </c>
      <c r="E11" s="109" t="s">
        <v>10</v>
      </c>
      <c r="F11" s="87">
        <v>262.2</v>
      </c>
      <c r="G11" s="87">
        <v>260.23</v>
      </c>
      <c r="AE11" s="108"/>
    </row>
    <row r="12" spans="1:31" ht="14.25" x14ac:dyDescent="0.2">
      <c r="A12" s="26" t="s">
        <v>87</v>
      </c>
      <c r="B12" s="87">
        <v>316.88</v>
      </c>
      <c r="C12" s="87">
        <v>208.61</v>
      </c>
      <c r="D12" s="87">
        <v>145.1</v>
      </c>
      <c r="E12" s="109" t="s">
        <v>10</v>
      </c>
      <c r="F12" s="87">
        <v>267.94</v>
      </c>
      <c r="G12" s="87">
        <v>282.49</v>
      </c>
      <c r="AE12" s="108"/>
    </row>
    <row r="13" spans="1:31" ht="14.25" x14ac:dyDescent="0.2">
      <c r="A13" s="26" t="s">
        <v>88</v>
      </c>
      <c r="B13" s="87">
        <v>345.02</v>
      </c>
      <c r="C13" s="87">
        <v>260.88</v>
      </c>
      <c r="D13" s="87">
        <v>173.53</v>
      </c>
      <c r="E13" s="109" t="s">
        <v>10</v>
      </c>
      <c r="F13" s="87">
        <v>291.14999999999998</v>
      </c>
      <c r="G13" s="87">
        <v>239.15</v>
      </c>
    </row>
    <row r="14" spans="1:31" ht="14.25" x14ac:dyDescent="0.2">
      <c r="A14" s="26" t="s">
        <v>112</v>
      </c>
      <c r="B14" s="87">
        <v>308.27999999999997</v>
      </c>
      <c r="C14" s="87">
        <v>228.64</v>
      </c>
      <c r="D14" s="103">
        <v>164.16</v>
      </c>
      <c r="E14" s="109" t="s">
        <v>10</v>
      </c>
      <c r="F14" s="87">
        <v>272.38</v>
      </c>
      <c r="G14" s="87">
        <v>225.77</v>
      </c>
    </row>
    <row r="15" spans="1:31" ht="14.25" x14ac:dyDescent="0.2">
      <c r="A15" s="26" t="s">
        <v>114</v>
      </c>
      <c r="B15" s="87">
        <v>299.5</v>
      </c>
      <c r="C15" s="87">
        <v>247.04</v>
      </c>
      <c r="D15" s="103">
        <v>187.7</v>
      </c>
      <c r="E15" s="109" t="s">
        <v>10</v>
      </c>
      <c r="F15" s="87">
        <v>273.99</v>
      </c>
      <c r="G15" s="87">
        <v>245.88</v>
      </c>
    </row>
    <row r="16" spans="1:31" ht="16.5" x14ac:dyDescent="0.2">
      <c r="A16" s="26" t="s">
        <v>117</v>
      </c>
      <c r="B16" s="87">
        <v>392.31</v>
      </c>
      <c r="C16" s="87">
        <v>375.51</v>
      </c>
      <c r="D16" s="103">
        <v>246.22</v>
      </c>
      <c r="E16" s="109" t="s">
        <v>10</v>
      </c>
      <c r="F16" s="87">
        <v>351.87</v>
      </c>
      <c r="G16" s="87">
        <v>288.12</v>
      </c>
    </row>
    <row r="17" spans="1:16" ht="16.5" x14ac:dyDescent="0.2">
      <c r="A17" s="26" t="s">
        <v>148</v>
      </c>
      <c r="B17" s="87">
        <v>325</v>
      </c>
      <c r="C17" s="87">
        <v>300</v>
      </c>
      <c r="D17" s="103">
        <v>180</v>
      </c>
      <c r="E17" s="109" t="s">
        <v>10</v>
      </c>
      <c r="F17" s="87">
        <v>295</v>
      </c>
      <c r="G17" s="87">
        <v>225</v>
      </c>
    </row>
    <row r="18" spans="1:16" ht="14.25" x14ac:dyDescent="0.2">
      <c r="A18" s="110"/>
      <c r="B18" s="87"/>
      <c r="C18" s="87"/>
      <c r="D18" s="87"/>
      <c r="E18" s="109"/>
      <c r="F18" s="87"/>
      <c r="G18" s="87"/>
      <c r="H18" s="111"/>
    </row>
    <row r="19" spans="1:16" ht="15" x14ac:dyDescent="0.25">
      <c r="A19" s="48" t="s">
        <v>114</v>
      </c>
      <c r="B19" s="87"/>
      <c r="C19" s="87"/>
      <c r="D19" s="87"/>
      <c r="E19" s="109"/>
      <c r="F19" s="87"/>
      <c r="G19" s="87"/>
      <c r="I19" s="112"/>
      <c r="M19" s="112"/>
    </row>
    <row r="20" spans="1:16" ht="14.25" x14ac:dyDescent="0.2">
      <c r="A20" s="26" t="s">
        <v>45</v>
      </c>
      <c r="B20" s="87">
        <v>309.48</v>
      </c>
      <c r="C20" s="87">
        <v>213.13</v>
      </c>
      <c r="D20" s="87">
        <v>169</v>
      </c>
      <c r="E20" s="109" t="s">
        <v>10</v>
      </c>
      <c r="F20" s="87">
        <v>267.89999999999998</v>
      </c>
      <c r="G20" s="87">
        <v>226.5</v>
      </c>
      <c r="I20" s="112"/>
      <c r="J20" s="112"/>
      <c r="K20" s="112"/>
      <c r="L20" s="112"/>
      <c r="M20" s="112"/>
    </row>
    <row r="21" spans="1:16" ht="14.25" x14ac:dyDescent="0.2">
      <c r="A21" s="26" t="s">
        <v>46</v>
      </c>
      <c r="B21" s="87">
        <v>303.13</v>
      </c>
      <c r="C21" s="87">
        <v>233.75</v>
      </c>
      <c r="D21" s="87">
        <v>166.88</v>
      </c>
      <c r="E21" s="109" t="s">
        <v>10</v>
      </c>
      <c r="F21" s="87" t="s">
        <v>10</v>
      </c>
      <c r="G21" s="87">
        <v>226.88</v>
      </c>
      <c r="I21" s="112"/>
      <c r="J21" s="112"/>
      <c r="K21" s="112"/>
      <c r="L21" s="112"/>
      <c r="M21" s="112"/>
    </row>
    <row r="22" spans="1:16" ht="14.25" x14ac:dyDescent="0.2">
      <c r="A22" s="26" t="s">
        <v>47</v>
      </c>
      <c r="B22" s="87">
        <v>299.58999999999997</v>
      </c>
      <c r="C22" s="87">
        <v>250.83</v>
      </c>
      <c r="D22" s="87">
        <v>180</v>
      </c>
      <c r="E22" s="109" t="s">
        <v>10</v>
      </c>
      <c r="F22" s="87" t="s">
        <v>10</v>
      </c>
      <c r="G22" s="87">
        <f>(235+227.5+232.5)/3</f>
        <v>231.66666666666666</v>
      </c>
      <c r="I22" s="112"/>
      <c r="J22" s="112"/>
      <c r="K22" s="112"/>
      <c r="L22" s="112"/>
      <c r="M22" s="112"/>
    </row>
    <row r="23" spans="1:16" ht="14.25" x14ac:dyDescent="0.2">
      <c r="A23" s="26" t="s">
        <v>48</v>
      </c>
      <c r="B23" s="87">
        <v>300.11</v>
      </c>
      <c r="C23" s="87">
        <v>239.38</v>
      </c>
      <c r="D23" s="87">
        <v>185</v>
      </c>
      <c r="E23" s="109" t="s">
        <v>10</v>
      </c>
      <c r="F23" s="87" t="s">
        <v>10</v>
      </c>
      <c r="G23" s="87">
        <v>248.13</v>
      </c>
      <c r="I23" s="112"/>
      <c r="J23" s="112"/>
      <c r="K23" s="112"/>
      <c r="L23" s="112"/>
      <c r="M23" s="112"/>
    </row>
    <row r="24" spans="1:16" ht="14.25" x14ac:dyDescent="0.2">
      <c r="A24" s="26" t="s">
        <v>49</v>
      </c>
      <c r="B24" s="87">
        <v>295.27999999999997</v>
      </c>
      <c r="C24" s="87">
        <v>250.63</v>
      </c>
      <c r="D24" s="87">
        <v>188.13</v>
      </c>
      <c r="E24" s="109" t="s">
        <v>10</v>
      </c>
      <c r="F24" s="87">
        <v>253.67</v>
      </c>
      <c r="G24" s="87">
        <v>262.5</v>
      </c>
      <c r="I24" s="112"/>
      <c r="J24" s="112"/>
      <c r="K24" s="113"/>
    </row>
    <row r="25" spans="1:16" ht="15" x14ac:dyDescent="0.2">
      <c r="A25" s="26" t="s">
        <v>50</v>
      </c>
      <c r="B25" s="87">
        <v>312.38</v>
      </c>
      <c r="C25" s="87">
        <v>259</v>
      </c>
      <c r="D25" s="87">
        <v>180</v>
      </c>
      <c r="E25" s="109" t="s">
        <v>10</v>
      </c>
      <c r="F25" s="87">
        <v>274.75</v>
      </c>
      <c r="G25" s="87">
        <v>263</v>
      </c>
      <c r="I25" s="112"/>
      <c r="J25" s="112"/>
      <c r="K25" s="114"/>
      <c r="M25" s="114"/>
      <c r="N25" s="114"/>
    </row>
    <row r="26" spans="1:16" ht="14.25" x14ac:dyDescent="0.2">
      <c r="A26" s="26" t="s">
        <v>51</v>
      </c>
      <c r="B26" s="87">
        <v>295.39999999999998</v>
      </c>
      <c r="C26" s="87">
        <v>281.88</v>
      </c>
      <c r="D26" s="87">
        <v>183.75</v>
      </c>
      <c r="E26" s="109" t="s">
        <v>10</v>
      </c>
      <c r="F26" s="87">
        <v>274.52999999999997</v>
      </c>
      <c r="G26" s="87">
        <v>260</v>
      </c>
      <c r="I26" s="112"/>
      <c r="J26" s="112"/>
      <c r="K26" s="112"/>
      <c r="L26" s="112"/>
      <c r="M26" s="112"/>
    </row>
    <row r="27" spans="1:16" ht="15" x14ac:dyDescent="0.2">
      <c r="A27" s="26" t="s">
        <v>52</v>
      </c>
      <c r="B27" s="87">
        <v>288.56</v>
      </c>
      <c r="C27" s="87">
        <v>251.88</v>
      </c>
      <c r="D27" s="87">
        <v>180.63</v>
      </c>
      <c r="E27" s="109" t="s">
        <v>10</v>
      </c>
      <c r="F27" s="87">
        <v>276.25</v>
      </c>
      <c r="G27" s="87">
        <v>257.5</v>
      </c>
      <c r="I27" s="112"/>
      <c r="J27" s="112"/>
      <c r="K27" s="112"/>
      <c r="L27" s="114"/>
      <c r="M27" s="112"/>
      <c r="N27" s="114"/>
      <c r="O27" s="114"/>
    </row>
    <row r="28" spans="1:16" ht="14.25" x14ac:dyDescent="0.2">
      <c r="A28" s="26" t="s">
        <v>53</v>
      </c>
      <c r="B28" s="87">
        <v>288.66000000000003</v>
      </c>
      <c r="C28" s="87">
        <v>245.5</v>
      </c>
      <c r="D28" s="87">
        <v>187.5</v>
      </c>
      <c r="E28" s="109" t="s">
        <v>10</v>
      </c>
      <c r="F28" s="87">
        <v>270.02999999999997</v>
      </c>
      <c r="G28" s="87">
        <v>245.63</v>
      </c>
      <c r="I28" s="112"/>
      <c r="J28" s="112"/>
      <c r="K28" s="112"/>
    </row>
    <row r="29" spans="1:16" ht="14.25" x14ac:dyDescent="0.2">
      <c r="A29" s="26" t="s">
        <v>55</v>
      </c>
      <c r="B29" s="87">
        <v>291.25</v>
      </c>
      <c r="C29" s="87">
        <v>245</v>
      </c>
      <c r="D29" s="87">
        <v>202.5</v>
      </c>
      <c r="E29" s="109" t="s">
        <v>10</v>
      </c>
      <c r="F29" s="87">
        <v>271.11</v>
      </c>
      <c r="G29" s="87">
        <v>250</v>
      </c>
      <c r="I29" s="112"/>
      <c r="J29" s="112"/>
      <c r="K29" s="112"/>
    </row>
    <row r="30" spans="1:16" ht="15" x14ac:dyDescent="0.2">
      <c r="A30" s="26" t="s">
        <v>56</v>
      </c>
      <c r="B30" s="87">
        <v>290.18</v>
      </c>
      <c r="C30" s="87">
        <v>245</v>
      </c>
      <c r="D30" s="87">
        <v>217.5</v>
      </c>
      <c r="E30" s="109" t="s">
        <v>10</v>
      </c>
      <c r="F30" s="87">
        <v>281.08999999999997</v>
      </c>
      <c r="G30" s="87">
        <v>251.75</v>
      </c>
      <c r="I30" s="112"/>
      <c r="J30" s="114"/>
      <c r="K30" s="112"/>
      <c r="L30" s="114"/>
      <c r="M30" s="112"/>
    </row>
    <row r="31" spans="1:16" ht="15" x14ac:dyDescent="0.2">
      <c r="A31" s="26" t="s">
        <v>58</v>
      </c>
      <c r="B31" s="87">
        <v>319.99</v>
      </c>
      <c r="C31" s="87">
        <v>248.5</v>
      </c>
      <c r="D31" s="87">
        <v>211.5</v>
      </c>
      <c r="E31" s="109" t="s">
        <v>10</v>
      </c>
      <c r="F31" s="87">
        <v>296.60000000000002</v>
      </c>
      <c r="G31" s="87">
        <v>227</v>
      </c>
      <c r="I31" s="112"/>
      <c r="J31" s="112"/>
      <c r="K31" s="113"/>
      <c r="P31" s="114"/>
    </row>
    <row r="32" spans="1:16" ht="15" x14ac:dyDescent="0.2">
      <c r="A32" s="30"/>
      <c r="B32" s="87"/>
      <c r="C32" s="87"/>
      <c r="D32" s="87"/>
      <c r="E32" s="109"/>
      <c r="F32" s="87"/>
      <c r="G32" s="87"/>
      <c r="I32" s="112"/>
      <c r="J32" s="114"/>
      <c r="K32" s="114"/>
      <c r="L32" s="112"/>
      <c r="M32" s="114"/>
      <c r="N32" s="114"/>
      <c r="O32" s="114"/>
      <c r="P32" s="114"/>
    </row>
    <row r="33" spans="1:16" ht="15" x14ac:dyDescent="0.25">
      <c r="A33" s="48" t="s">
        <v>122</v>
      </c>
      <c r="B33" s="87"/>
      <c r="C33" s="87"/>
      <c r="D33" s="87"/>
      <c r="E33" s="109"/>
      <c r="F33" s="87"/>
      <c r="G33" s="87"/>
      <c r="I33" s="113"/>
      <c r="J33" s="114"/>
      <c r="K33" s="114"/>
      <c r="L33" s="112"/>
      <c r="M33" s="112"/>
      <c r="P33" s="114"/>
    </row>
    <row r="34" spans="1:16" ht="15" x14ac:dyDescent="0.2">
      <c r="A34" s="26" t="s">
        <v>45</v>
      </c>
      <c r="B34" s="87">
        <v>367.11</v>
      </c>
      <c r="C34" s="87">
        <v>301.88</v>
      </c>
      <c r="D34" s="87">
        <v>211.25</v>
      </c>
      <c r="E34" s="109" t="s">
        <v>10</v>
      </c>
      <c r="F34" s="87">
        <v>327.24</v>
      </c>
      <c r="G34" s="87">
        <v>239.375</v>
      </c>
      <c r="H34" s="115"/>
      <c r="I34" s="112"/>
      <c r="J34" s="114"/>
      <c r="K34" s="114"/>
      <c r="L34" s="112"/>
      <c r="M34" s="112"/>
      <c r="P34" s="114"/>
    </row>
    <row r="35" spans="1:16" ht="15" x14ac:dyDescent="0.2">
      <c r="A35" s="26" t="s">
        <v>46</v>
      </c>
      <c r="B35" s="87">
        <v>387.83</v>
      </c>
      <c r="C35" s="87">
        <v>365.63</v>
      </c>
      <c r="D35" s="87">
        <v>216.25</v>
      </c>
      <c r="E35" s="109" t="s">
        <v>10</v>
      </c>
      <c r="F35" s="87">
        <v>333.89</v>
      </c>
      <c r="G35" s="87">
        <v>253.75</v>
      </c>
      <c r="H35" s="115"/>
      <c r="I35" s="112"/>
      <c r="J35" s="26"/>
      <c r="K35" s="114"/>
      <c r="L35" s="112"/>
      <c r="M35" s="112"/>
    </row>
    <row r="36" spans="1:16" ht="15" x14ac:dyDescent="0.2">
      <c r="A36" s="26" t="s">
        <v>47</v>
      </c>
      <c r="B36" s="87">
        <v>396.68</v>
      </c>
      <c r="C36" s="87">
        <v>435.83</v>
      </c>
      <c r="D36" s="87">
        <v>252.5</v>
      </c>
      <c r="E36" s="109" t="s">
        <v>10</v>
      </c>
      <c r="F36" s="87">
        <v>338.55</v>
      </c>
      <c r="G36" s="87">
        <v>275</v>
      </c>
      <c r="H36" s="115"/>
      <c r="I36" s="112"/>
      <c r="J36" s="26"/>
      <c r="K36" s="114"/>
      <c r="L36" s="112"/>
    </row>
    <row r="37" spans="1:16" ht="15" x14ac:dyDescent="0.2">
      <c r="A37" s="30" t="s">
        <v>48</v>
      </c>
      <c r="B37" s="87">
        <v>439.24</v>
      </c>
      <c r="C37" s="87">
        <v>443.75</v>
      </c>
      <c r="D37" s="87">
        <v>280.63</v>
      </c>
      <c r="E37" s="109" t="s">
        <v>10</v>
      </c>
      <c r="F37" s="87">
        <v>387.53</v>
      </c>
      <c r="G37" s="87">
        <v>313.125</v>
      </c>
      <c r="I37" s="112"/>
      <c r="J37" s="114"/>
      <c r="K37" s="114"/>
      <c r="L37" s="114"/>
      <c r="M37" s="114"/>
      <c r="N37" s="114"/>
    </row>
    <row r="38" spans="1:16" ht="15" x14ac:dyDescent="0.25">
      <c r="A38" s="30" t="s">
        <v>49</v>
      </c>
      <c r="B38" s="87">
        <v>427.28</v>
      </c>
      <c r="C38" s="87">
        <v>460</v>
      </c>
      <c r="D38" s="87">
        <v>291.88</v>
      </c>
      <c r="E38" s="109" t="s">
        <v>10</v>
      </c>
      <c r="F38" s="87">
        <v>376.07499999999999</v>
      </c>
      <c r="G38" s="87">
        <v>296.25</v>
      </c>
      <c r="I38" s="112"/>
      <c r="J38" s="116"/>
      <c r="K38" s="114"/>
      <c r="L38" s="112"/>
      <c r="M38" s="112"/>
      <c r="O38" s="114"/>
    </row>
    <row r="39" spans="1:16" ht="15" x14ac:dyDescent="0.2">
      <c r="A39" s="30" t="s">
        <v>50</v>
      </c>
      <c r="B39" s="87">
        <v>410.02</v>
      </c>
      <c r="C39" s="87">
        <v>456</v>
      </c>
      <c r="D39" s="87">
        <v>279.5</v>
      </c>
      <c r="E39" s="109" t="s">
        <v>10</v>
      </c>
      <c r="F39" s="87">
        <v>365.14</v>
      </c>
      <c r="G39" s="87">
        <v>322</v>
      </c>
      <c r="I39" s="112"/>
      <c r="J39" s="30"/>
      <c r="K39" s="112"/>
      <c r="L39" s="112"/>
      <c r="M39" s="112"/>
      <c r="O39" s="114"/>
    </row>
    <row r="40" spans="1:16" ht="15" x14ac:dyDescent="0.25">
      <c r="A40" s="30" t="s">
        <v>51</v>
      </c>
      <c r="B40" s="87">
        <v>413.36</v>
      </c>
      <c r="C40" s="87">
        <v>415</v>
      </c>
      <c r="D40" s="87">
        <v>258.125</v>
      </c>
      <c r="E40" s="109" t="s">
        <v>10</v>
      </c>
      <c r="F40" s="87">
        <v>377.57499999999999</v>
      </c>
      <c r="G40" s="87">
        <v>318.75</v>
      </c>
      <c r="I40" s="48"/>
      <c r="J40" s="30"/>
      <c r="K40" s="112"/>
      <c r="L40" s="112"/>
      <c r="M40" s="112"/>
      <c r="O40" s="114"/>
    </row>
    <row r="41" spans="1:16" ht="15" x14ac:dyDescent="0.2">
      <c r="A41" s="30" t="s">
        <v>52</v>
      </c>
      <c r="B41" s="87">
        <v>421.03</v>
      </c>
      <c r="C41" s="87">
        <v>360.625</v>
      </c>
      <c r="D41" s="87">
        <v>265</v>
      </c>
      <c r="E41" s="109" t="s">
        <v>10</v>
      </c>
      <c r="F41" s="87">
        <v>391.45</v>
      </c>
      <c r="G41" s="87">
        <v>335.63</v>
      </c>
      <c r="I41" s="26"/>
      <c r="J41" s="30"/>
      <c r="K41" s="112"/>
      <c r="L41" s="112"/>
      <c r="M41" s="112"/>
      <c r="O41" s="114"/>
    </row>
    <row r="42" spans="1:16" ht="15" x14ac:dyDescent="0.2">
      <c r="A42" s="30" t="s">
        <v>53</v>
      </c>
      <c r="B42" s="87">
        <v>378.18</v>
      </c>
      <c r="C42" s="87">
        <v>337.5</v>
      </c>
      <c r="D42" s="87">
        <v>252.5</v>
      </c>
      <c r="E42" s="109" t="s">
        <v>10</v>
      </c>
      <c r="F42" s="87">
        <v>345.9</v>
      </c>
      <c r="G42" s="87">
        <v>293.5</v>
      </c>
      <c r="I42" s="26"/>
      <c r="J42" s="30"/>
      <c r="K42" s="112"/>
      <c r="L42" s="112"/>
      <c r="M42" s="112"/>
      <c r="O42" s="114"/>
    </row>
    <row r="43" spans="1:16" ht="15" x14ac:dyDescent="0.2">
      <c r="A43" s="30" t="s">
        <v>55</v>
      </c>
      <c r="B43" s="87">
        <v>365.23</v>
      </c>
      <c r="C43" s="87">
        <v>321.875</v>
      </c>
      <c r="D43" s="87">
        <v>206.25</v>
      </c>
      <c r="E43" s="109" t="s">
        <v>10</v>
      </c>
      <c r="F43" s="87">
        <v>326.67499999999995</v>
      </c>
      <c r="G43" s="87">
        <v>262.5</v>
      </c>
      <c r="I43" s="26"/>
      <c r="J43" s="30"/>
      <c r="K43" s="112"/>
      <c r="L43" s="112"/>
      <c r="M43" s="112"/>
      <c r="O43" s="114"/>
    </row>
    <row r="44" spans="1:16" ht="15" x14ac:dyDescent="0.2">
      <c r="A44" s="30" t="s">
        <v>56</v>
      </c>
      <c r="B44" s="87">
        <v>358.21</v>
      </c>
      <c r="C44" s="87">
        <v>303</v>
      </c>
      <c r="D44" s="87">
        <v>219.5</v>
      </c>
      <c r="E44" s="109" t="s">
        <v>10</v>
      </c>
      <c r="F44" s="87">
        <v>329.45</v>
      </c>
      <c r="G44" s="87">
        <v>287.5</v>
      </c>
      <c r="I44" s="26"/>
      <c r="J44" s="30"/>
      <c r="K44" s="112"/>
      <c r="L44" s="112"/>
      <c r="M44" s="112"/>
      <c r="O44" s="114"/>
    </row>
    <row r="45" spans="1:16" ht="15" x14ac:dyDescent="0.2">
      <c r="A45" s="24" t="s">
        <v>58</v>
      </c>
      <c r="B45" s="22">
        <v>343.55</v>
      </c>
      <c r="C45" s="22">
        <v>305</v>
      </c>
      <c r="D45" s="22">
        <v>221.25</v>
      </c>
      <c r="E45" s="23" t="s">
        <v>10</v>
      </c>
      <c r="F45" s="22">
        <v>322.96249999999998</v>
      </c>
      <c r="G45" s="22">
        <v>260</v>
      </c>
      <c r="I45" s="26"/>
      <c r="J45" s="30"/>
      <c r="K45" s="112"/>
      <c r="L45" s="112"/>
      <c r="M45" s="112"/>
      <c r="O45" s="114"/>
    </row>
    <row r="46" spans="1:16" ht="16.5" x14ac:dyDescent="0.2">
      <c r="A46" s="77" t="s">
        <v>155</v>
      </c>
      <c r="B46" s="117"/>
      <c r="C46" s="117"/>
      <c r="D46" s="117"/>
      <c r="E46" s="117"/>
      <c r="F46" s="117"/>
      <c r="G46" s="117"/>
      <c r="I46" s="26"/>
      <c r="J46" s="112"/>
      <c r="K46" s="112"/>
      <c r="L46" s="112"/>
    </row>
    <row r="47" spans="1:16" ht="16.5" x14ac:dyDescent="0.2">
      <c r="A47" s="77" t="s">
        <v>144</v>
      </c>
      <c r="B47" s="118"/>
      <c r="C47" s="118"/>
      <c r="D47" s="118"/>
      <c r="E47" s="118"/>
      <c r="F47" s="118"/>
      <c r="G47" s="118"/>
      <c r="I47" s="26"/>
      <c r="J47" s="87"/>
      <c r="K47" s="112"/>
      <c r="L47" s="112"/>
      <c r="M47" s="112"/>
    </row>
    <row r="48" spans="1:16" ht="14.25" x14ac:dyDescent="0.2">
      <c r="A48" s="26" t="s">
        <v>44</v>
      </c>
      <c r="B48" s="118"/>
      <c r="C48" s="118"/>
      <c r="D48" s="118"/>
      <c r="E48" s="118"/>
      <c r="F48" s="118"/>
      <c r="G48" s="118"/>
      <c r="H48" s="78"/>
      <c r="I48" s="30"/>
      <c r="J48" s="87"/>
      <c r="K48" s="112"/>
      <c r="L48" s="112"/>
      <c r="M48" s="112"/>
    </row>
    <row r="49" spans="1:13" ht="14.25" x14ac:dyDescent="0.2">
      <c r="A49" s="26" t="s">
        <v>156</v>
      </c>
      <c r="B49" s="26"/>
      <c r="C49" s="26"/>
      <c r="D49" s="26"/>
      <c r="E49" s="26"/>
      <c r="F49" s="118"/>
      <c r="G49" s="118"/>
      <c r="I49" s="30"/>
      <c r="J49" s="87"/>
      <c r="K49" s="112"/>
      <c r="L49" s="112"/>
      <c r="M49" s="112"/>
    </row>
    <row r="50" spans="1:13" ht="14.25" x14ac:dyDescent="0.2">
      <c r="A50" s="32" t="s">
        <v>18</v>
      </c>
      <c r="B50" s="66">
        <f ca="1">NOW()</f>
        <v>44482.587913078707</v>
      </c>
      <c r="C50" s="26"/>
      <c r="D50" s="26"/>
      <c r="E50" s="26"/>
      <c r="F50" s="118"/>
      <c r="G50" s="118"/>
      <c r="I50" s="30"/>
      <c r="J50" s="87"/>
      <c r="K50" s="119"/>
      <c r="L50" s="119"/>
      <c r="M50" s="119"/>
    </row>
    <row r="51" spans="1:13" ht="14.25" x14ac:dyDescent="0.2">
      <c r="F51" s="118"/>
      <c r="G51" s="118"/>
      <c r="I51" s="30"/>
      <c r="J51" s="87"/>
      <c r="K51" s="119"/>
      <c r="L51" s="119"/>
      <c r="M51" s="119"/>
    </row>
    <row r="52" spans="1:13" ht="14.25" x14ac:dyDescent="0.2">
      <c r="F52" s="118"/>
      <c r="G52" s="118"/>
      <c r="I52" s="30"/>
      <c r="J52" s="87"/>
      <c r="K52" s="112"/>
      <c r="L52" s="112"/>
      <c r="M52" s="112"/>
    </row>
    <row r="53" spans="1:13" x14ac:dyDescent="0.2">
      <c r="I53" s="120"/>
      <c r="J53" s="120"/>
      <c r="K53" s="112"/>
      <c r="L53" s="112"/>
      <c r="M53" s="112"/>
    </row>
    <row r="54" spans="1:13" x14ac:dyDescent="0.2">
      <c r="I54" s="121"/>
      <c r="J54" s="121"/>
      <c r="K54" s="112"/>
      <c r="L54" s="112"/>
      <c r="M54" s="112"/>
    </row>
    <row r="55" spans="1:13" x14ac:dyDescent="0.2">
      <c r="I55" s="121"/>
      <c r="J55" s="121"/>
      <c r="K55" s="112"/>
      <c r="L55" s="112"/>
      <c r="M55" s="112"/>
    </row>
    <row r="56" spans="1:13" x14ac:dyDescent="0.2">
      <c r="I56" s="121"/>
      <c r="J56" s="121"/>
      <c r="K56" s="112"/>
      <c r="L56" s="112"/>
      <c r="M56" s="112"/>
    </row>
    <row r="57" spans="1:13" x14ac:dyDescent="0.2">
      <c r="I57" s="121"/>
      <c r="J57" s="121"/>
      <c r="K57" s="112"/>
      <c r="L57" s="112"/>
      <c r="M57" s="112"/>
    </row>
    <row r="59" spans="1:13" x14ac:dyDescent="0.2">
      <c r="I59" s="122"/>
      <c r="J59" s="122"/>
      <c r="K59" s="122"/>
      <c r="L59" s="122"/>
      <c r="M59" s="122"/>
    </row>
    <row r="60" spans="1:13" x14ac:dyDescent="0.2">
      <c r="I60" s="122"/>
      <c r="J60" s="122"/>
      <c r="K60" s="122"/>
      <c r="L60" s="122"/>
      <c r="M60" s="122"/>
    </row>
    <row r="61" spans="1:13" x14ac:dyDescent="0.2">
      <c r="J61" s="122"/>
    </row>
  </sheetData>
  <phoneticPr fontId="11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CE0EE-7AB4-4BA1-B193-42AF2486725D}">
  <dimension ref="A1:C13"/>
  <sheetViews>
    <sheetView zoomScaleNormal="100" workbookViewId="0"/>
  </sheetViews>
  <sheetFormatPr defaultColWidth="8.85546875" defaultRowHeight="15" x14ac:dyDescent="0.25"/>
  <cols>
    <col min="1" max="1" width="10.7109375" style="150" bestFit="1" customWidth="1"/>
    <col min="2" max="2" width="14.28515625" style="149" bestFit="1" customWidth="1"/>
    <col min="3" max="3" width="11.85546875" style="149" bestFit="1" customWidth="1"/>
    <col min="4" max="16384" width="8.85546875" style="149"/>
  </cols>
  <sheetData>
    <row r="1" spans="1:3" x14ac:dyDescent="0.25">
      <c r="A1" s="152" t="s">
        <v>166</v>
      </c>
      <c r="B1" s="148" t="s">
        <v>165</v>
      </c>
      <c r="C1" s="148" t="s">
        <v>161</v>
      </c>
    </row>
    <row r="2" spans="1:3" x14ac:dyDescent="0.25">
      <c r="A2" s="151" t="s">
        <v>167</v>
      </c>
      <c r="B2" s="162">
        <v>367.11</v>
      </c>
      <c r="C2" s="163">
        <v>33.909999999999997</v>
      </c>
    </row>
    <row r="3" spans="1:3" x14ac:dyDescent="0.25">
      <c r="A3" s="151" t="s">
        <v>168</v>
      </c>
      <c r="B3" s="162">
        <v>387.83</v>
      </c>
      <c r="C3" s="163">
        <v>37.79</v>
      </c>
    </row>
    <row r="4" spans="1:3" x14ac:dyDescent="0.25">
      <c r="A4" s="151" t="s">
        <v>169</v>
      </c>
      <c r="B4" s="162">
        <v>396.68</v>
      </c>
      <c r="C4" s="163">
        <v>40.85</v>
      </c>
    </row>
    <row r="5" spans="1:3" x14ac:dyDescent="0.25">
      <c r="A5" s="151" t="s">
        <v>170</v>
      </c>
      <c r="B5" s="162">
        <v>439.24</v>
      </c>
      <c r="C5" s="163">
        <v>44.31</v>
      </c>
    </row>
    <row r="6" spans="1:3" x14ac:dyDescent="0.25">
      <c r="A6" s="151" t="s">
        <v>171</v>
      </c>
      <c r="B6" s="162">
        <v>427.28</v>
      </c>
      <c r="C6" s="163">
        <v>48.37</v>
      </c>
    </row>
    <row r="7" spans="1:3" x14ac:dyDescent="0.25">
      <c r="A7" s="151" t="s">
        <v>50</v>
      </c>
      <c r="B7" s="162">
        <v>410.02</v>
      </c>
      <c r="C7" s="163">
        <v>56</v>
      </c>
    </row>
    <row r="8" spans="1:3" x14ac:dyDescent="0.25">
      <c r="A8" s="151" t="s">
        <v>51</v>
      </c>
      <c r="B8" s="162">
        <v>413.36</v>
      </c>
      <c r="C8" s="163">
        <v>62.88</v>
      </c>
    </row>
    <row r="9" spans="1:3" x14ac:dyDescent="0.25">
      <c r="A9" s="151" t="s">
        <v>52</v>
      </c>
      <c r="B9" s="162">
        <v>421.03</v>
      </c>
      <c r="C9" s="163">
        <v>74.75</v>
      </c>
    </row>
    <row r="10" spans="1:3" x14ac:dyDescent="0.25">
      <c r="A10" s="151" t="s">
        <v>53</v>
      </c>
      <c r="B10" s="162">
        <v>378.18</v>
      </c>
      <c r="C10" s="163">
        <v>74.75</v>
      </c>
    </row>
    <row r="11" spans="1:3" x14ac:dyDescent="0.25">
      <c r="A11" s="151" t="s">
        <v>55</v>
      </c>
      <c r="B11" s="162">
        <v>365.23</v>
      </c>
      <c r="C11" s="163">
        <v>72.930000000000007</v>
      </c>
    </row>
    <row r="12" spans="1:3" x14ac:dyDescent="0.25">
      <c r="A12" s="151" t="s">
        <v>172</v>
      </c>
      <c r="B12" s="162">
        <v>358.21</v>
      </c>
      <c r="C12" s="163">
        <v>70.010000000000005</v>
      </c>
    </row>
    <row r="13" spans="1:3" x14ac:dyDescent="0.25">
      <c r="A13" s="151" t="s">
        <v>173</v>
      </c>
      <c r="B13" s="162">
        <v>343.55</v>
      </c>
      <c r="C13" s="163">
        <v>65.930000000000007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9711008381A4489560F302ED63725A" ma:contentTypeVersion="11" ma:contentTypeDescription="Create a new document." ma:contentTypeScope="" ma:versionID="887cff17742744b02a1c83dd32c3b354">
  <xsd:schema xmlns:xsd="http://www.w3.org/2001/XMLSchema" xmlns:xs="http://www.w3.org/2001/XMLSchema" xmlns:p="http://schemas.microsoft.com/office/2006/metadata/properties" xmlns:ns3="642c2d5b-b5cd-4c4f-95a0-231891633038" xmlns:ns4="9d29759f-fdc3-4b89-93e8-7a818e788e93" targetNamespace="http://schemas.microsoft.com/office/2006/metadata/properties" ma:root="true" ma:fieldsID="eca4ca4c91a3a67dac508b2f26fcc458" ns3:_="" ns4:_="">
    <xsd:import namespace="642c2d5b-b5cd-4c4f-95a0-231891633038"/>
    <xsd:import namespace="9d29759f-fdc3-4b89-93e8-7a818e788e9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c2d5b-b5cd-4c4f-95a0-2318916330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9759f-fdc3-4b89-93e8-7a818e788e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CD11575-6B8F-46EE-93E0-60356AADF3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c2d5b-b5cd-4c4f-95a0-231891633038"/>
    <ds:schemaRef ds:uri="9d29759f-fdc3-4b89-93e8-7a818e788e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F9FD27-698A-4259-BC06-6D4A65A05AE8}">
  <ds:schemaRefs>
    <ds:schemaRef ds:uri="http://www.w3.org/XML/1998/namespace"/>
    <ds:schemaRef ds:uri="http://purl.org/dc/terms/"/>
    <ds:schemaRef ds:uri="642c2d5b-b5cd-4c4f-95a0-231891633038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d29759f-fdc3-4b89-93e8-7a818e788e9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Figure 1</vt:lpstr>
      <vt:lpstr>Figure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Ates, Aaron - REE-ERS, Kansas City, MO</cp:lastModifiedBy>
  <cp:lastPrinted>2014-11-10T20:35:48Z</cp:lastPrinted>
  <dcterms:created xsi:type="dcterms:W3CDTF">2001-11-13T16:22:15Z</dcterms:created>
  <dcterms:modified xsi:type="dcterms:W3CDTF">2021-10-13T19:37:02Z</dcterms:modified>
  <cp:category>Oilseeds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0x010100509711008381A4489560F302ED63725A</vt:lpwstr>
  </property>
</Properties>
</file>