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8_{3B1AAE3B-4EC0-4ABD-9B65-134895AC272D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36" r:id="rId9"/>
    <sheet name="Figure 1" sheetId="32" r:id="rId10"/>
    <sheet name="Figure 2" sheetId="37" r:id="rId11"/>
  </sheets>
  <definedNames>
    <definedName name="_xlnm.Print_Area" localSheetId="1">'Table 1'!$A$1:$N$45</definedName>
    <definedName name="_xlnm.Print_Area" localSheetId="7">'Table 10'!$A$1:$G$45</definedName>
    <definedName name="_xlnm.Print_Area" localSheetId="2">'Table 2'!$A$1:$J$36</definedName>
    <definedName name="_xlnm.Print_Area" localSheetId="3">'Table 3'!$A$1:$M$49</definedName>
    <definedName name="_xlnm.Print_Area" localSheetId="5">'Table 8'!$A$1:$G$43</definedName>
    <definedName name="_xlnm.Print_Area" localSheetId="6">'Table 9'!$A$1:$I$45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9" l="1"/>
  <c r="G6" i="9"/>
  <c r="E6" i="9"/>
  <c r="E23" i="9"/>
  <c r="D6" i="9"/>
  <c r="C6" i="9"/>
  <c r="D23" i="9"/>
  <c r="G23" i="9"/>
  <c r="H23" i="9"/>
  <c r="I23" i="9"/>
  <c r="J23" i="9"/>
  <c r="K23" i="9"/>
  <c r="G6" i="1"/>
  <c r="H6" i="1"/>
  <c r="I6" i="1"/>
  <c r="J6" i="1"/>
  <c r="K6" i="1"/>
  <c r="L6" i="1"/>
  <c r="M6" i="1"/>
  <c r="F6" i="1"/>
  <c r="C32" i="2"/>
  <c r="C33" i="2"/>
  <c r="E34" i="1" l="1"/>
  <c r="E32" i="3" l="1"/>
  <c r="E33" i="3"/>
  <c r="L33" i="9" l="1"/>
  <c r="I32" i="9"/>
  <c r="B33" i="9"/>
  <c r="D34" i="2"/>
  <c r="J32" i="2"/>
  <c r="B33" i="2" s="1"/>
  <c r="E33" i="2" s="1"/>
  <c r="J33" i="2"/>
  <c r="C34" i="2"/>
  <c r="E42" i="1"/>
  <c r="G42" i="1"/>
  <c r="H42" i="1" l="1"/>
  <c r="M42" i="1" s="1"/>
  <c r="E33" i="9"/>
  <c r="K33" i="9" s="1"/>
  <c r="G33" i="9" s="1"/>
  <c r="I33" i="2"/>
  <c r="G33" i="2" s="1"/>
  <c r="B37" i="9"/>
  <c r="G34" i="9" l="1"/>
  <c r="D34" i="9"/>
  <c r="H34" i="9"/>
  <c r="I34" i="9"/>
  <c r="J34" i="9"/>
  <c r="J35" i="1"/>
  <c r="J36" i="1"/>
  <c r="J37" i="1"/>
  <c r="E8" i="1"/>
  <c r="I21" i="3" l="1"/>
  <c r="I20" i="3"/>
  <c r="B8" i="2" l="1"/>
  <c r="H34" i="2" l="1"/>
  <c r="L42" i="1"/>
  <c r="C34" i="9" l="1"/>
  <c r="B32" i="9"/>
  <c r="E32" i="9" s="1"/>
  <c r="J39" i="1"/>
  <c r="J42" i="1" s="1"/>
  <c r="K42" i="1" s="1"/>
  <c r="B32" i="2"/>
  <c r="E32" i="2" s="1"/>
  <c r="K32" i="9" l="1"/>
  <c r="I32" i="2"/>
  <c r="G32" i="2" l="1"/>
  <c r="A5" i="10" l="1"/>
  <c r="H8" i="1" l="1"/>
  <c r="M8" i="1" l="1"/>
  <c r="B31" i="9" l="1"/>
  <c r="E31" i="9" s="1"/>
  <c r="K31" i="9" s="1"/>
  <c r="B31" i="2"/>
  <c r="E31" i="2"/>
  <c r="E8" i="2"/>
  <c r="E8" i="9"/>
  <c r="K8" i="9" s="1"/>
  <c r="G8" i="9" s="1"/>
  <c r="I8" i="9" s="1"/>
  <c r="I8" i="2" l="1"/>
  <c r="G8" i="2" s="1"/>
  <c r="I31" i="2"/>
  <c r="G31" i="2" s="1"/>
  <c r="B8" i="3"/>
  <c r="E8" i="3" s="1"/>
  <c r="J8" i="3" s="1"/>
  <c r="I8" i="3" s="1"/>
  <c r="E21" i="3"/>
  <c r="B33" i="3"/>
  <c r="I33" i="3" s="1"/>
  <c r="G33" i="3" s="1"/>
  <c r="E46" i="3"/>
  <c r="H46" i="3" s="1"/>
  <c r="N46" i="3" s="1"/>
  <c r="L46" i="3" s="1"/>
  <c r="D45" i="3"/>
  <c r="B30" i="2" l="1"/>
  <c r="E38" i="1"/>
  <c r="E30" i="2" l="1"/>
  <c r="I30" i="2" l="1"/>
  <c r="G30" i="2" s="1"/>
  <c r="E7" i="9"/>
  <c r="K7" i="9" s="1"/>
  <c r="G7" i="9" s="1"/>
  <c r="E20" i="3"/>
  <c r="B30" i="9"/>
  <c r="E30" i="9" s="1"/>
  <c r="K30" i="9" s="1"/>
  <c r="B46" i="5" l="1"/>
  <c r="L38" i="1" l="1"/>
  <c r="G38" i="1"/>
  <c r="H38" i="1" s="1"/>
  <c r="M38" i="1" s="1"/>
  <c r="B29" i="2" l="1"/>
  <c r="E29" i="2" s="1"/>
  <c r="B29" i="9"/>
  <c r="E29" i="9" s="1"/>
  <c r="K29" i="9" s="1"/>
  <c r="J38" i="1"/>
  <c r="F43" i="1"/>
  <c r="I29" i="2" l="1"/>
  <c r="K38" i="1"/>
  <c r="G29" i="2" l="1"/>
  <c r="B28" i="9" l="1"/>
  <c r="E28" i="9" s="1"/>
  <c r="K28" i="9" s="1"/>
  <c r="B28" i="2" l="1"/>
  <c r="E28" i="2" s="1"/>
  <c r="J33" i="1"/>
  <c r="I28" i="2" l="1"/>
  <c r="G28" i="2" s="1"/>
  <c r="L34" i="1"/>
  <c r="L43" i="1" s="1"/>
  <c r="B27" i="9" l="1"/>
  <c r="E27" i="9" s="1"/>
  <c r="K27" i="9" s="1"/>
  <c r="B27" i="2"/>
  <c r="E27" i="2" s="1"/>
  <c r="J31" i="1"/>
  <c r="J32" i="1"/>
  <c r="I27" i="2" l="1"/>
  <c r="G27" i="2" s="1"/>
  <c r="J34" i="1"/>
  <c r="J43" i="1" s="1"/>
  <c r="B26" i="2"/>
  <c r="E34" i="2" s="1"/>
  <c r="B22" i="2"/>
  <c r="E22" i="2" s="1"/>
  <c r="I22" i="2" s="1"/>
  <c r="G22" i="2" s="1"/>
  <c r="B21" i="2"/>
  <c r="E21" i="2" s="1"/>
  <c r="I21" i="2" s="1"/>
  <c r="G21" i="2" s="1"/>
  <c r="B20" i="2"/>
  <c r="E20" i="2" s="1"/>
  <c r="I20" i="2" s="1"/>
  <c r="G20" i="2" s="1"/>
  <c r="B19" i="2"/>
  <c r="E19" i="2" s="1"/>
  <c r="I19" i="2" s="1"/>
  <c r="G19" i="2" s="1"/>
  <c r="B18" i="2"/>
  <c r="E18" i="2" s="1"/>
  <c r="I18" i="2" s="1"/>
  <c r="G18" i="2" s="1"/>
  <c r="B17" i="2"/>
  <c r="E17" i="2" s="1"/>
  <c r="I17" i="2" s="1"/>
  <c r="G17" i="2" s="1"/>
  <c r="B16" i="2"/>
  <c r="E16" i="2" s="1"/>
  <c r="I16" i="2" s="1"/>
  <c r="G16" i="2" s="1"/>
  <c r="B15" i="2"/>
  <c r="E15" i="2" s="1"/>
  <c r="I15" i="2" s="1"/>
  <c r="G15" i="2" s="1"/>
  <c r="B14" i="2"/>
  <c r="E14" i="2" s="1"/>
  <c r="I14" i="2" s="1"/>
  <c r="G14" i="2" s="1"/>
  <c r="B13" i="2"/>
  <c r="E13" i="2" s="1"/>
  <c r="I13" i="2" s="1"/>
  <c r="G13" i="2" s="1"/>
  <c r="B12" i="2"/>
  <c r="E12" i="2" s="1"/>
  <c r="I12" i="2" s="1"/>
  <c r="G12" i="2" s="1"/>
  <c r="B11" i="2"/>
  <c r="E11" i="2" s="1"/>
  <c r="I11" i="2" s="1"/>
  <c r="G11" i="2" s="1"/>
  <c r="C23" i="9"/>
  <c r="B22" i="9"/>
  <c r="E22" i="9" s="1"/>
  <c r="B21" i="9"/>
  <c r="B20" i="9"/>
  <c r="B19" i="9"/>
  <c r="E19" i="9" s="1"/>
  <c r="B18" i="9"/>
  <c r="B17" i="9"/>
  <c r="E17" i="9" s="1"/>
  <c r="K17" i="9" s="1"/>
  <c r="G17" i="9" s="1"/>
  <c r="I17" i="9" s="1"/>
  <c r="B16" i="9"/>
  <c r="E16" i="9" s="1"/>
  <c r="K16" i="9" s="1"/>
  <c r="G16" i="9" s="1"/>
  <c r="I16" i="9" s="1"/>
  <c r="B15" i="9"/>
  <c r="E15" i="9" s="1"/>
  <c r="B14" i="9"/>
  <c r="E14" i="9" s="1"/>
  <c r="K14" i="9" s="1"/>
  <c r="G14" i="9" s="1"/>
  <c r="I14" i="9" s="1"/>
  <c r="B13" i="9"/>
  <c r="B12" i="9"/>
  <c r="B11" i="9"/>
  <c r="K19" i="9" l="1"/>
  <c r="G19" i="9" s="1"/>
  <c r="I19" i="9" s="1"/>
  <c r="D23" i="2"/>
  <c r="H23" i="2"/>
  <c r="E12" i="9"/>
  <c r="K12" i="9" s="1"/>
  <c r="G12" i="9" s="1"/>
  <c r="I12" i="9" s="1"/>
  <c r="E20" i="9"/>
  <c r="K20" i="9" s="1"/>
  <c r="G20" i="9" s="1"/>
  <c r="I20" i="9" s="1"/>
  <c r="E18" i="9"/>
  <c r="K18" i="9" s="1"/>
  <c r="G18" i="9" s="1"/>
  <c r="I18" i="9" s="1"/>
  <c r="K15" i="9"/>
  <c r="G15" i="9" s="1"/>
  <c r="I15" i="9" s="1"/>
  <c r="E13" i="9"/>
  <c r="K13" i="9" s="1"/>
  <c r="G13" i="9" s="1"/>
  <c r="I13" i="9" s="1"/>
  <c r="E21" i="9"/>
  <c r="K21" i="9" s="1"/>
  <c r="G21" i="9" s="1"/>
  <c r="I21" i="9" s="1"/>
  <c r="E11" i="9"/>
  <c r="K11" i="9" s="1"/>
  <c r="G34" i="1"/>
  <c r="G43" i="1" l="1"/>
  <c r="H43" i="1" s="1"/>
  <c r="H34" i="1"/>
  <c r="M34" i="1" s="1"/>
  <c r="G11" i="9"/>
  <c r="K34" i="1" l="1"/>
  <c r="K43" i="1" s="1"/>
  <c r="M43" i="1"/>
  <c r="B26" i="9"/>
  <c r="E34" i="9" s="1"/>
  <c r="K22" i="9"/>
  <c r="G22" i="9" s="1"/>
  <c r="I22" i="9" s="1"/>
  <c r="I11" i="9"/>
  <c r="J26" i="1"/>
  <c r="F15" i="1" l="1"/>
  <c r="E27" i="1" l="1"/>
  <c r="J25" i="1" l="1"/>
  <c r="F28" i="1" l="1"/>
  <c r="L27" i="1" l="1"/>
  <c r="G27" i="1"/>
  <c r="H27" i="1" s="1"/>
  <c r="M27" i="1" s="1"/>
  <c r="J24" i="1" l="1"/>
  <c r="J27" i="1" s="1"/>
  <c r="K27" i="1" s="1"/>
  <c r="J22" i="1" l="1"/>
  <c r="E23" i="1" l="1"/>
  <c r="J21" i="1" l="1"/>
  <c r="E45" i="3" l="1"/>
  <c r="H45" i="3" s="1"/>
  <c r="B32" i="3"/>
  <c r="B7" i="3"/>
  <c r="E7" i="3" s="1"/>
  <c r="J7" i="3" s="1"/>
  <c r="I7" i="3" s="1"/>
  <c r="N45" i="3" l="1"/>
  <c r="L45" i="3" s="1"/>
  <c r="I32" i="3"/>
  <c r="G32" i="3" s="1"/>
  <c r="L23" i="1"/>
  <c r="G23" i="1" l="1"/>
  <c r="H23" i="1" l="1"/>
  <c r="M23" i="1" s="1"/>
  <c r="J20" i="1"/>
  <c r="J23" i="1" s="1"/>
  <c r="K23" i="1" l="1"/>
  <c r="B7" i="2" l="1"/>
  <c r="D7" i="1"/>
  <c r="E7" i="1"/>
  <c r="E7" i="2" l="1"/>
  <c r="I7" i="2" s="1"/>
  <c r="G7" i="2" s="1"/>
  <c r="H7" i="1"/>
  <c r="M7" i="1" s="1"/>
  <c r="J18" i="1" l="1"/>
  <c r="E19" i="1" l="1"/>
  <c r="J13" i="1" l="1"/>
  <c r="J17" i="1" l="1"/>
  <c r="B50" i="3" l="1"/>
  <c r="L19" i="1" l="1"/>
  <c r="G19" i="1"/>
  <c r="H19" i="1" l="1"/>
  <c r="M19" i="1" s="1"/>
  <c r="J16" i="1"/>
  <c r="J19" i="1" s="1"/>
  <c r="K19" i="1" l="1"/>
  <c r="G22" i="6" l="1"/>
  <c r="J14" i="1" l="1"/>
  <c r="L15" i="1" l="1"/>
  <c r="L28" i="1" s="1"/>
  <c r="G15" i="1"/>
  <c r="G28" i="1" s="1"/>
  <c r="H28" i="1" l="1"/>
  <c r="J12" i="1"/>
  <c r="J15" i="1" s="1"/>
  <c r="J28" i="1" s="1"/>
  <c r="H15" i="1"/>
  <c r="E26" i="9" l="1"/>
  <c r="M15" i="1"/>
  <c r="M28" i="1" s="1"/>
  <c r="E26" i="2"/>
  <c r="B46" i="1"/>
  <c r="K26" i="9" l="1"/>
  <c r="K34" i="9" s="1"/>
  <c r="I26" i="2"/>
  <c r="I34" i="2" s="1"/>
  <c r="G26" i="2"/>
  <c r="G34" i="2" s="1"/>
  <c r="K15" i="1"/>
  <c r="K28" i="1" s="1"/>
  <c r="B47" i="6" l="1"/>
  <c r="B46" i="4"/>
  <c r="B37" i="2"/>
  <c r="C23" i="2" l="1"/>
  <c r="E23" i="2" s="1"/>
  <c r="I23" i="2" l="1"/>
  <c r="G23" i="2"/>
  <c r="I7" i="9" l="1"/>
</calcChain>
</file>

<file path=xl/sharedStrings.xml><?xml version="1.0" encoding="utf-8"?>
<sst xmlns="http://schemas.openxmlformats.org/spreadsheetml/2006/main" count="517" uniqueCount="180">
  <si>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</si>
  <si>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</si>
  <si>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</si>
  <si>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</si>
  <si>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</si>
  <si>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</si>
  <si>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</si>
  <si>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</si>
  <si>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</si>
  <si>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</si>
  <si>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</si>
  <si>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</si>
  <si>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</si>
  <si>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</si>
  <si>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</si>
  <si>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</si>
  <si>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 Million pounds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</si>
  <si>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</si>
  <si>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</si>
  <si>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</si>
  <si>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</si>
  <si>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</si>
  <si>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</si>
  <si>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</si>
  <si>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</si>
  <si>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</si>
  <si>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</si>
  <si>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</si>
  <si>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</si>
  <si>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</si>
  <si>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</si>
  <si>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</si>
  <si>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</si>
  <si>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</si>
  <si>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</si>
  <si>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</si>
  <si>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</si>
  <si>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</si>
  <si>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</si>
  <si>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</si>
  <si>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</si>
  <si>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</si>
  <si>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</si>
  <si>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</si>
  <si>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</si>
  <si>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</si>
  <si>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</si>
  <si>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</si>
  <si>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</si>
  <si>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</si>
  <si>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</si>
  <si>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</si>
  <si>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</si>
  <si>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</si>
  <si>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</si>
  <si>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</si>
  <si>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</si>
  <si>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</si>
  <si>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</si>
  <si>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</si>
  <si>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Pounds/acre</t>
  </si>
  <si>
    <t xml:space="preserve">  September-November</t>
  </si>
  <si>
    <t xml:space="preserve">  December-February</t>
  </si>
  <si>
    <t xml:space="preserve">  March-May</t>
  </si>
  <si>
    <t>Year beginning</t>
  </si>
  <si>
    <t>October 1</t>
  </si>
  <si>
    <t>August 1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</si>
  <si>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</si>
  <si>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</si>
  <si>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</si>
  <si>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</si>
  <si>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</si>
  <si>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</si>
  <si>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</si>
  <si>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</si>
  <si>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2013/14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</si>
  <si>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</si>
  <si>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</si>
  <si>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</si>
  <si>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</si>
  <si>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</si>
  <si>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</si>
  <si>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</si>
  <si>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</si>
  <si>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</si>
  <si>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</si>
  <si>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</si>
  <si>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</si>
  <si>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</si>
  <si>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</si>
  <si>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</si>
  <si>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</si>
  <si>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</si>
  <si>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</si>
  <si>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</si>
  <si>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</si>
  <si>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</si>
  <si>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</si>
  <si>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</si>
  <si>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</si>
  <si>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</si>
  <si>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</si>
  <si>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</si>
  <si>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</si>
  <si>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</si>
  <si>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</si>
  <si>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</si>
  <si>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</si>
  <si>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</si>
  <si>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</si>
  <si>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</si>
  <si>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</si>
  <si>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</si>
  <si>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</si>
  <si>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</si>
  <si>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</si>
  <si>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</si>
  <si>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t>2018/19</t>
  </si>
  <si>
    <t>---------------------------------------------Million bushels----------------------------------------------------------</t>
  </si>
  <si>
    <t>2019/20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</si>
  <si>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</si>
  <si>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</si>
  <si>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</si>
  <si>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</si>
  <si>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</si>
  <si>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</si>
  <si>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</si>
  <si>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</si>
  <si>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>Total to date</t>
  </si>
  <si>
    <t xml:space="preserve"> June-August</t>
  </si>
  <si>
    <t>Bushels per acre</t>
  </si>
  <si>
    <t>Soybeans: Quarterly U.S. supply and disappearance</t>
  </si>
  <si>
    <t xml:space="preserve">Dollars per bushel </t>
  </si>
  <si>
    <t xml:space="preserve">Dollars per short ton  </t>
  </si>
  <si>
    <t>Cents per pound</t>
  </si>
  <si>
    <t>Dollars per hundredweight</t>
  </si>
  <si>
    <t>------------------------------------------------------- Cents per pound----------------------------------------------</t>
  </si>
  <si>
    <t>--------------------------------------------------- Dollars per short ton------------------------------------------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</si>
  <si>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</si>
  <si>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</si>
  <si>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</si>
  <si>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</si>
  <si>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</si>
  <si>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</si>
  <si>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</si>
  <si>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</si>
  <si>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</si>
  <si>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Table 1—Soybeans: U.S. supply and disappearance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</si>
  <si>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</si>
  <si>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NA = Not available.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</si>
  <si>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Minneapolis, MN. 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</si>
  <si>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</si>
  <si>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</si>
  <si>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>2021/22</t>
    </r>
    <r>
      <rPr>
        <vertAlign val="superscript"/>
        <sz val="11"/>
        <rFont val="Arial"/>
        <family val="2"/>
      </rPr>
      <t>2</t>
    </r>
  </si>
  <si>
    <r>
      <t>2021/22</t>
    </r>
    <r>
      <rPr>
        <vertAlign val="superscript"/>
        <sz val="11"/>
        <rFont val="Arial"/>
        <family val="2"/>
      </rPr>
      <t>1</t>
    </r>
  </si>
  <si>
    <t>Million Pounds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</si>
  <si>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</si>
  <si>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</si>
  <si>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</t>
    </r>
  </si>
  <si>
    <r>
      <t>Biofuel</t>
    </r>
    <r>
      <rPr>
        <vertAlign val="superscript"/>
        <sz val="11"/>
        <rFont val="Arial"/>
        <family val="2"/>
      </rPr>
      <t>3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</si>
  <si>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 Note: 1 metric ton equals 2,204.622 pounds. NA: Not available.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</si>
  <si>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</si>
  <si>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</si>
  <si>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</si>
  <si>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Prices.</t>
    </r>
  </si>
  <si>
    <t>March-May</t>
  </si>
  <si>
    <t>2021*</t>
  </si>
  <si>
    <t>Year</t>
  </si>
  <si>
    <t>2021/22</t>
  </si>
  <si>
    <t>Argentinian ending stocks</t>
  </si>
  <si>
    <t>Brazilian ending stocks</t>
  </si>
  <si>
    <t>Argentinian exports</t>
  </si>
  <si>
    <t>Brazilian exports</t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</si>
  <si>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</si>
  <si>
    <t>National canola yield</t>
  </si>
  <si>
    <t xml:space="preserve">Contact: Aaron Ates </t>
  </si>
  <si>
    <t>Percent of Montana crop rated good/excellent</t>
  </si>
  <si>
    <t>Percent of North Dakota crop rated good/excellent</t>
  </si>
  <si>
    <r>
      <t xml:space="preserve">Errata: On July 15, 2021, the Oil Crops Outlook Tables and Oil Crops Outlook: July 2021 </t>
    </r>
    <r>
      <rPr>
        <sz val="10.5"/>
        <color rgb="FF000000"/>
        <rFont val="Arial"/>
        <family val="2"/>
      </rPr>
      <t xml:space="preserve">were reposted to correct year labels on </t>
    </r>
    <r>
      <rPr>
        <sz val="11"/>
        <rFont val="Arial"/>
        <family val="2"/>
      </rPr>
      <t>the “</t>
    </r>
    <r>
      <rPr>
        <sz val="10.5"/>
        <color rgb="FF000000"/>
        <rFont val="Arial"/>
        <family val="2"/>
      </rPr>
      <t xml:space="preserve">U.S. soybean crop conditions as of July 11” </t>
    </r>
    <r>
      <rPr>
        <sz val="11"/>
        <rFont val="Arial"/>
        <family val="2"/>
      </rPr>
      <t>map.</t>
    </r>
  </si>
  <si>
    <t>Errata: On July 15, 2021, the Oil Crops Outlook Tables and Oil Crops Outlook: July 2021 were reposted to correct year labels on the “U.S. soybean crop conditions as of July 11” map.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</si>
</sst>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8" fillId="0" borderId="0"/>
    <xf numFmtId="0" fontId="8" fillId="0" borderId="0"/>
    <xf numFmtId="0" fontId="8" fillId="0" borderId="0"/>
    <xf numFmtId="0" fontId="19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21" fillId="0" borderId="0"/>
    <xf numFmtId="0" fontId="6" fillId="0" borderId="0"/>
    <xf numFmtId="0" fontId="5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Font="1" applyBorder="1"/>
    <xf numFmtId="43" fontId="0" fillId="0" borderId="0" xfId="0" applyNumberFormat="1"/>
    <xf numFmtId="0" fontId="8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11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0" fontId="8" fillId="0" borderId="0" xfId="8" applyFont="1"/>
    <xf numFmtId="0" fontId="9" fillId="0" borderId="0" xfId="8" applyFont="1"/>
    <xf numFmtId="0" fontId="8" fillId="0" borderId="0" xfId="8" applyFont="1" applyFill="1"/>
    <xf numFmtId="0" fontId="8" fillId="0" borderId="0" xfId="8" quotePrefix="1" applyFont="1"/>
    <xf numFmtId="0" fontId="14" fillId="0" borderId="0" xfId="8" applyFont="1" applyFill="1"/>
    <xf numFmtId="0" fontId="15" fillId="0" borderId="0" xfId="8" applyFont="1"/>
    <xf numFmtId="0" fontId="16" fillId="0" borderId="1" xfId="0" applyFont="1" applyBorder="1"/>
    <xf numFmtId="0" fontId="16" fillId="0" borderId="0" xfId="0" applyFont="1"/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/>
    <xf numFmtId="0" fontId="16" fillId="0" borderId="0" xfId="0" applyFont="1" applyAlignment="1">
      <alignment horizontal="right"/>
    </xf>
    <xf numFmtId="16" fontId="16" fillId="0" borderId="1" xfId="0" quotePrefix="1" applyNumberFormat="1" applyFont="1" applyBorder="1"/>
    <xf numFmtId="16" fontId="16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indent="1"/>
    </xf>
    <xf numFmtId="0" fontId="17" fillId="0" borderId="0" xfId="0" quotePrefix="1" applyFont="1" applyAlignment="1">
      <alignment horizontal="right"/>
    </xf>
    <xf numFmtId="167" fontId="16" fillId="0" borderId="0" xfId="0" applyNumberFormat="1" applyFont="1" applyAlignment="1">
      <alignment horizontal="center"/>
    </xf>
    <xf numFmtId="165" fontId="16" fillId="0" borderId="0" xfId="1" applyNumberFormat="1" applyFont="1" applyAlignment="1">
      <alignment horizontal="left"/>
    </xf>
    <xf numFmtId="165" fontId="16" fillId="0" borderId="0" xfId="1" applyNumberFormat="1" applyFont="1" applyAlignment="1">
      <alignment horizontal="center"/>
    </xf>
    <xf numFmtId="3" fontId="16" fillId="0" borderId="0" xfId="1" applyNumberFormat="1" applyFont="1" applyBorder="1" applyAlignment="1">
      <alignment horizontal="right" indent="1"/>
    </xf>
    <xf numFmtId="165" fontId="16" fillId="0" borderId="0" xfId="1" applyNumberFormat="1" applyFont="1"/>
    <xf numFmtId="164" fontId="16" fillId="0" borderId="0" xfId="1" applyNumberFormat="1" applyFont="1" applyBorder="1"/>
    <xf numFmtId="164" fontId="16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center"/>
    </xf>
    <xf numFmtId="0" fontId="17" fillId="0" borderId="3" xfId="0" quotePrefix="1" applyFont="1" applyBorder="1" applyAlignment="1"/>
    <xf numFmtId="164" fontId="16" fillId="0" borderId="0" xfId="1" quotePrefix="1" applyNumberFormat="1" applyFont="1" applyBorder="1" applyAlignment="1">
      <alignment horizontal="center"/>
    </xf>
    <xf numFmtId="169" fontId="16" fillId="0" borderId="0" xfId="1" applyNumberFormat="1" applyFont="1" applyBorder="1" applyAlignment="1">
      <alignment horizontal="right" indent="1"/>
    </xf>
    <xf numFmtId="169" fontId="16" fillId="0" borderId="0" xfId="1" applyNumberFormat="1" applyFont="1" applyBorder="1" applyAlignment="1">
      <alignment horizontal="right"/>
    </xf>
    <xf numFmtId="169" fontId="16" fillId="0" borderId="0" xfId="1" quotePrefix="1" applyNumberFormat="1" applyFont="1" applyBorder="1" applyAlignment="1">
      <alignment horizontal="right"/>
    </xf>
    <xf numFmtId="164" fontId="16" fillId="0" borderId="0" xfId="1" quotePrefix="1" applyNumberFormat="1" applyFont="1" applyAlignment="1">
      <alignment horizontal="center"/>
    </xf>
    <xf numFmtId="169" fontId="16" fillId="0" borderId="0" xfId="1" quotePrefix="1" applyNumberFormat="1" applyFont="1" applyAlignment="1">
      <alignment horizontal="right"/>
    </xf>
    <xf numFmtId="169" fontId="16" fillId="0" borderId="1" xfId="1" applyNumberFormat="1" applyFont="1" applyBorder="1" applyAlignment="1">
      <alignment horizontal="right" indent="1"/>
    </xf>
    <xf numFmtId="0" fontId="18" fillId="0" borderId="0" xfId="0" applyFont="1" applyBorder="1"/>
    <xf numFmtId="164" fontId="16" fillId="0" borderId="0" xfId="0" applyNumberFormat="1" applyFont="1" applyBorder="1"/>
    <xf numFmtId="164" fontId="16" fillId="0" borderId="0" xfId="1" applyNumberFormat="1" applyFont="1"/>
    <xf numFmtId="14" fontId="16" fillId="0" borderId="0" xfId="0" applyNumberFormat="1" applyFont="1" applyAlignment="1">
      <alignment horizontal="left"/>
    </xf>
    <xf numFmtId="3" fontId="16" fillId="0" borderId="0" xfId="1" applyNumberFormat="1" applyFont="1" applyAlignment="1">
      <alignment horizontal="right" indent="2"/>
    </xf>
    <xf numFmtId="3" fontId="16" fillId="0" borderId="0" xfId="1" applyNumberFormat="1" applyFont="1" applyAlignment="1">
      <alignment horizontal="right" indent="1"/>
    </xf>
    <xf numFmtId="3" fontId="16" fillId="0" borderId="0" xfId="1" applyNumberFormat="1" applyFont="1" applyAlignment="1">
      <alignment horizontal="center"/>
    </xf>
    <xf numFmtId="169" fontId="16" fillId="0" borderId="0" xfId="1" applyNumberFormat="1" applyFont="1" applyBorder="1" applyAlignment="1">
      <alignment horizontal="center"/>
    </xf>
    <xf numFmtId="169" fontId="16" fillId="0" borderId="0" xfId="1" applyNumberFormat="1" applyFont="1" applyBorder="1" applyAlignment="1">
      <alignment horizontal="right" indent="2"/>
    </xf>
    <xf numFmtId="169" fontId="16" fillId="0" borderId="0" xfId="1" applyNumberFormat="1" applyFont="1" applyAlignment="1">
      <alignment horizontal="right" indent="1"/>
    </xf>
    <xf numFmtId="169" fontId="16" fillId="0" borderId="1" xfId="1" applyNumberFormat="1" applyFont="1" applyBorder="1" applyAlignment="1">
      <alignment horizontal="right" indent="2"/>
    </xf>
    <xf numFmtId="0" fontId="18" fillId="0" borderId="0" xfId="0" applyFont="1"/>
    <xf numFmtId="0" fontId="16" fillId="0" borderId="0" xfId="0" applyFont="1" applyBorder="1" applyAlignment="1">
      <alignment horizontal="center"/>
    </xf>
    <xf numFmtId="169" fontId="16" fillId="0" borderId="1" xfId="1" applyNumberFormat="1" applyFont="1" applyBorder="1" applyAlignment="1">
      <alignment horizontal="center"/>
    </xf>
    <xf numFmtId="0" fontId="16" fillId="0" borderId="3" xfId="0" applyFont="1" applyBorder="1"/>
    <xf numFmtId="0" fontId="16" fillId="0" borderId="0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37" fontId="16" fillId="0" borderId="0" xfId="1" applyNumberFormat="1" applyFont="1" applyAlignment="1">
      <alignment horizontal="center"/>
    </xf>
    <xf numFmtId="37" fontId="16" fillId="0" borderId="0" xfId="1" applyNumberFormat="1" applyFont="1" applyAlignment="1">
      <alignment horizontal="right" indent="2"/>
    </xf>
    <xf numFmtId="37" fontId="16" fillId="0" borderId="0" xfId="1" applyNumberFormat="1" applyFont="1" applyAlignment="1">
      <alignment horizontal="right" indent="1"/>
    </xf>
    <xf numFmtId="37" fontId="16" fillId="0" borderId="1" xfId="1" applyNumberFormat="1" applyFont="1" applyBorder="1" applyAlignment="1">
      <alignment horizontal="center"/>
    </xf>
    <xf numFmtId="37" fontId="16" fillId="0" borderId="1" xfId="1" applyNumberFormat="1" applyFont="1" applyBorder="1" applyAlignment="1">
      <alignment horizontal="right" indent="2"/>
    </xf>
    <xf numFmtId="165" fontId="16" fillId="0" borderId="1" xfId="1" applyNumberFormat="1" applyFont="1" applyBorder="1"/>
    <xf numFmtId="37" fontId="16" fillId="0" borderId="1" xfId="1" applyNumberFormat="1" applyFont="1" applyBorder="1" applyAlignment="1">
      <alignment horizontal="right" indent="1"/>
    </xf>
    <xf numFmtId="37" fontId="16" fillId="0" borderId="0" xfId="1" applyNumberFormat="1" applyFont="1" applyBorder="1" applyAlignment="1">
      <alignment horizontal="center"/>
    </xf>
    <xf numFmtId="165" fontId="16" fillId="0" borderId="0" xfId="1" applyNumberFormat="1" applyFont="1" applyBorder="1"/>
    <xf numFmtId="1" fontId="16" fillId="0" borderId="0" xfId="0" applyNumberFormat="1" applyFont="1" applyAlignment="1">
      <alignment horizontal="center"/>
    </xf>
    <xf numFmtId="37" fontId="16" fillId="0" borderId="0" xfId="1" applyNumberFormat="1" applyFont="1" applyBorder="1" applyAlignment="1">
      <alignment horizontal="right" indent="1"/>
    </xf>
    <xf numFmtId="1" fontId="16" fillId="0" borderId="1" xfId="0" applyNumberFormat="1" applyFont="1" applyBorder="1" applyAlignment="1">
      <alignment horizontal="center"/>
    </xf>
    <xf numFmtId="165" fontId="16" fillId="0" borderId="1" xfId="1" applyNumberFormat="1" applyFont="1" applyBorder="1" applyAlignment="1">
      <alignment horizontal="right"/>
    </xf>
    <xf numFmtId="16" fontId="16" fillId="0" borderId="0" xfId="0" applyNumberFormat="1" applyFont="1" applyBorder="1"/>
    <xf numFmtId="0" fontId="17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right" indent="2"/>
    </xf>
    <xf numFmtId="43" fontId="16" fillId="0" borderId="0" xfId="1" quotePrefix="1" applyFont="1" applyBorder="1" applyAlignment="1">
      <alignment horizontal="center"/>
    </xf>
    <xf numFmtId="170" fontId="16" fillId="0" borderId="0" xfId="0" applyNumberFormat="1" applyFont="1" applyBorder="1"/>
    <xf numFmtId="43" fontId="16" fillId="0" borderId="0" xfId="1" quotePrefix="1" applyNumberFormat="1" applyFont="1" applyBorder="1" applyAlignment="1">
      <alignment horizontal="center"/>
    </xf>
    <xf numFmtId="166" fontId="16" fillId="0" borderId="0" xfId="1" quotePrefix="1" applyNumberFormat="1" applyFont="1" applyBorder="1" applyAlignment="1">
      <alignment horizontal="center"/>
    </xf>
    <xf numFmtId="43" fontId="16" fillId="0" borderId="0" xfId="1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right" indent="2"/>
    </xf>
    <xf numFmtId="43" fontId="16" fillId="0" borderId="0" xfId="1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indent="1"/>
    </xf>
    <xf numFmtId="0" fontId="16" fillId="0" borderId="3" xfId="0" applyFont="1" applyBorder="1" applyAlignment="1">
      <alignment horizontal="center"/>
    </xf>
    <xf numFmtId="0" fontId="17" fillId="0" borderId="3" xfId="0" applyFont="1" applyBorder="1" applyAlignment="1"/>
    <xf numFmtId="43" fontId="16" fillId="0" borderId="0" xfId="1" applyNumberFormat="1" applyFont="1" applyBorder="1"/>
    <xf numFmtId="43" fontId="16" fillId="0" borderId="0" xfId="0" applyNumberFormat="1" applyFont="1"/>
    <xf numFmtId="165" fontId="16" fillId="0" borderId="0" xfId="1" applyNumberFormat="1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0" fontId="16" fillId="0" borderId="0" xfId="0" quotePrefix="1" applyFont="1" applyBorder="1"/>
    <xf numFmtId="43" fontId="16" fillId="0" borderId="1" xfId="1" applyFont="1" applyBorder="1" applyAlignment="1">
      <alignment horizontal="center"/>
    </xf>
    <xf numFmtId="168" fontId="16" fillId="0" borderId="0" xfId="0" applyNumberFormat="1" applyFont="1"/>
    <xf numFmtId="2" fontId="16" fillId="0" borderId="0" xfId="0" applyNumberFormat="1" applyFont="1"/>
    <xf numFmtId="2" fontId="16" fillId="0" borderId="0" xfId="0" applyNumberFormat="1" applyFont="1" applyBorder="1" applyAlignment="1">
      <alignment horizontal="center"/>
    </xf>
    <xf numFmtId="0" fontId="8" fillId="0" borderId="1" xfId="0" applyFont="1" applyBorder="1"/>
    <xf numFmtId="169" fontId="16" fillId="0" borderId="1" xfId="1" applyNumberFormat="1" applyFont="1" applyBorder="1" applyAlignment="1">
      <alignment horizontal="right"/>
    </xf>
    <xf numFmtId="0" fontId="8" fillId="0" borderId="0" xfId="0" applyFont="1" applyBorder="1"/>
    <xf numFmtId="0" fontId="17" fillId="0" borderId="3" xfId="0" quotePrefix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3" xfId="0" quotePrefix="1" applyFont="1" applyBorder="1" applyAlignment="1">
      <alignment horizontal="center"/>
    </xf>
    <xf numFmtId="0" fontId="0" fillId="0" borderId="2" xfId="0" applyBorder="1"/>
    <xf numFmtId="0" fontId="16" fillId="0" borderId="2" xfId="0" applyFont="1" applyBorder="1" applyAlignment="1">
      <alignment horizontal="right"/>
    </xf>
    <xf numFmtId="0" fontId="16" fillId="0" borderId="2" xfId="0" applyFont="1" applyBorder="1" applyAlignment="1">
      <alignment horizontal="left"/>
    </xf>
    <xf numFmtId="0" fontId="7" fillId="0" borderId="0" xfId="0" applyFont="1" applyBorder="1"/>
    <xf numFmtId="169" fontId="16" fillId="0" borderId="0" xfId="0" applyNumberFormat="1" applyFont="1" applyBorder="1"/>
    <xf numFmtId="169" fontId="0" fillId="0" borderId="0" xfId="0" applyNumberFormat="1"/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right" indent="1"/>
    </xf>
    <xf numFmtId="9" fontId="16" fillId="0" borderId="0" xfId="12" applyFont="1"/>
    <xf numFmtId="164" fontId="16" fillId="0" borderId="1" xfId="1" applyNumberFormat="1" applyFont="1" applyBorder="1" applyAlignment="1">
      <alignment horizontal="center"/>
    </xf>
    <xf numFmtId="164" fontId="16" fillId="0" borderId="1" xfId="1" quotePrefix="1" applyNumberFormat="1" applyFont="1" applyBorder="1" applyAlignment="1">
      <alignment horizontal="center"/>
    </xf>
    <xf numFmtId="169" fontId="16" fillId="0" borderId="1" xfId="1" quotePrefix="1" applyNumberFormat="1" applyFont="1" applyBorder="1" applyAlignment="1">
      <alignment horizontal="right"/>
    </xf>
    <xf numFmtId="169" fontId="16" fillId="0" borderId="1" xfId="1" applyNumberFormat="1" applyFont="1" applyFill="1" applyBorder="1" applyAlignment="1">
      <alignment horizontal="right"/>
    </xf>
    <xf numFmtId="0" fontId="20" fillId="0" borderId="0" xfId="0" applyFont="1" applyAlignment="1">
      <alignment vertical="center"/>
    </xf>
    <xf numFmtId="169" fontId="16" fillId="2" borderId="0" xfId="1" applyNumberFormat="1" applyFont="1" applyFill="1" applyBorder="1" applyAlignment="1">
      <alignment horizontal="center"/>
    </xf>
    <xf numFmtId="169" fontId="16" fillId="2" borderId="0" xfId="1" applyNumberFormat="1" applyFont="1" applyFill="1" applyBorder="1" applyAlignment="1">
      <alignment horizontal="right" indent="1"/>
    </xf>
    <xf numFmtId="169" fontId="16" fillId="2" borderId="0" xfId="1" applyNumberFormat="1" applyFont="1" applyFill="1" applyAlignment="1">
      <alignment horizontal="right" indent="1"/>
    </xf>
    <xf numFmtId="3" fontId="16" fillId="0" borderId="0" xfId="0" applyNumberFormat="1" applyFont="1"/>
    <xf numFmtId="169" fontId="16" fillId="0" borderId="0" xfId="1" applyNumberFormat="1" applyFont="1" applyFill="1" applyAlignment="1">
      <alignment horizontal="right" indent="1"/>
    </xf>
    <xf numFmtId="169" fontId="16" fillId="0" borderId="0" xfId="1" applyNumberFormat="1" applyFont="1" applyFill="1" applyBorder="1" applyAlignment="1">
      <alignment horizontal="right" indent="1"/>
    </xf>
    <xf numFmtId="0" fontId="16" fillId="0" borderId="2" xfId="0" applyFont="1" applyBorder="1" applyAlignment="1">
      <alignment horizontal="center"/>
    </xf>
    <xf numFmtId="37" fontId="16" fillId="0" borderId="0" xfId="1" applyNumberFormat="1" applyFont="1" applyBorder="1" applyAlignment="1">
      <alignment horizontal="right" indent="2"/>
    </xf>
    <xf numFmtId="1" fontId="16" fillId="0" borderId="0" xfId="0" applyNumberFormat="1" applyFont="1" applyBorder="1" applyAlignment="1">
      <alignment horizontal="center"/>
    </xf>
    <xf numFmtId="169" fontId="16" fillId="0" borderId="0" xfId="0" applyNumberFormat="1" applyFont="1"/>
    <xf numFmtId="169" fontId="16" fillId="0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Border="1"/>
    <xf numFmtId="0" fontId="22" fillId="0" borderId="0" xfId="0" quotePrefix="1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7" fillId="0" borderId="0" xfId="0" applyFont="1"/>
    <xf numFmtId="2" fontId="16" fillId="0" borderId="1" xfId="0" applyNumberFormat="1" applyFont="1" applyBorder="1" applyAlignment="1">
      <alignment horizontal="center"/>
    </xf>
    <xf numFmtId="43" fontId="7" fillId="0" borderId="0" xfId="1" applyFont="1"/>
    <xf numFmtId="168" fontId="0" fillId="0" borderId="0" xfId="0" applyNumberFormat="1"/>
    <xf numFmtId="47" fontId="0" fillId="0" borderId="0" xfId="0" applyNumberFormat="1"/>
    <xf numFmtId="0" fontId="24" fillId="0" borderId="0" xfId="0" applyFont="1"/>
    <xf numFmtId="169" fontId="16" fillId="0" borderId="0" xfId="1" applyNumberFormat="1" applyFont="1" applyBorder="1" applyAlignment="1">
      <alignment horizontal="right" indent="1"/>
    </xf>
    <xf numFmtId="3" fontId="16" fillId="0" borderId="0" xfId="1" applyNumberFormat="1" applyFont="1" applyAlignment="1">
      <alignment horizontal="center"/>
    </xf>
    <xf numFmtId="169" fontId="16" fillId="0" borderId="0" xfId="1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right" indent="2"/>
    </xf>
    <xf numFmtId="169" fontId="16" fillId="2" borderId="0" xfId="1" applyNumberFormat="1" applyFont="1" applyFill="1" applyBorder="1" applyAlignment="1">
      <alignment horizontal="center"/>
    </xf>
    <xf numFmtId="169" fontId="16" fillId="2" borderId="0" xfId="1" applyNumberFormat="1" applyFont="1" applyFill="1" applyBorder="1" applyAlignment="1">
      <alignment horizontal="right" indent="1"/>
    </xf>
    <xf numFmtId="169" fontId="16" fillId="0" borderId="0" xfId="1" applyNumberFormat="1" applyFont="1" applyFill="1" applyBorder="1" applyAlignment="1">
      <alignment horizontal="right" indent="1"/>
    </xf>
    <xf numFmtId="0" fontId="16" fillId="0" borderId="0" xfId="8" applyFont="1" applyBorder="1" applyAlignment="1">
      <alignment vertical="top" wrapText="1"/>
    </xf>
    <xf numFmtId="0" fontId="22" fillId="0" borderId="0" xfId="7" applyFont="1" applyAlignment="1">
      <alignment horizontal="left"/>
    </xf>
    <xf numFmtId="0" fontId="25" fillId="0" borderId="0" xfId="5" applyFont="1" applyAlignment="1" applyProtection="1"/>
    <xf numFmtId="14" fontId="22" fillId="0" borderId="0" xfId="7" applyNumberFormat="1" applyFont="1" applyAlignment="1">
      <alignment horizontal="left"/>
    </xf>
    <xf numFmtId="0" fontId="25" fillId="0" borderId="0" xfId="4" applyFont="1" applyAlignment="1" applyProtection="1"/>
    <xf numFmtId="0" fontId="16" fillId="0" borderId="0" xfId="7" quotePrefix="1" applyFont="1" applyAlignment="1">
      <alignment horizontal="left"/>
    </xf>
    <xf numFmtId="0" fontId="16" fillId="0" borderId="0" xfId="8" applyFont="1" applyBorder="1" applyAlignment="1">
      <alignment wrapText="1"/>
    </xf>
    <xf numFmtId="0" fontId="0" fillId="0" borderId="1" xfId="0" applyBorder="1" applyAlignment="1">
      <alignment horizontal="center"/>
    </xf>
    <xf numFmtId="3" fontId="7" fillId="0" borderId="0" xfId="0" applyNumberFormat="1" applyFont="1"/>
    <xf numFmtId="0" fontId="26" fillId="3" borderId="4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27"/>
    <xf numFmtId="165" fontId="0" fillId="0" borderId="0" xfId="28" applyNumberFormat="1" applyFont="1"/>
    <xf numFmtId="0" fontId="26" fillId="0" borderId="1" xfId="27" applyFont="1" applyBorder="1"/>
    <xf numFmtId="0" fontId="1" fillId="0" borderId="0" xfId="29"/>
    <xf numFmtId="0" fontId="27" fillId="0" borderId="0" xfId="29" applyFont="1" applyAlignment="1">
      <alignment horizontal="center"/>
    </xf>
    <xf numFmtId="0" fontId="28" fillId="0" borderId="1" xfId="29" applyFont="1" applyBorder="1" applyAlignment="1">
      <alignment horizontal="center"/>
    </xf>
    <xf numFmtId="0" fontId="1" fillId="0" borderId="0" xfId="27" applyFont="1"/>
    <xf numFmtId="0" fontId="0" fillId="0" borderId="0" xfId="0" applyAlignment="1">
      <alignment horizontal="center"/>
    </xf>
    <xf numFmtId="0" fontId="17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17" fillId="0" borderId="6" xfId="0" quotePrefix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30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FFCF01"/>
      <color rgb="FF0000FF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South American soybean stocks increase on</a:t>
            </a:r>
            <a:r>
              <a:rPr lang="en-US" sz="1050" b="1" baseline="0"/>
              <a:t> l</a:t>
            </a:r>
            <a:r>
              <a:rPr lang="en-US" sz="1050" b="1"/>
              <a:t>ower exports</a:t>
            </a: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5432402317634825"/>
          <c:w val="0.79446092392393375"/>
          <c:h val="0.662094042489971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Cover!$A$2</c:f>
              <c:strCache>
                <c:ptCount val="1"/>
                <c:pt idx="0">
                  <c:v>Argentinian ending stocks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Cover!$B$1:$F$1</c:f>
              <c:strCache>
                <c:ptCount val="5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</c:strCache>
            </c:strRef>
          </c:cat>
          <c:val>
            <c:numRef>
              <c:f>Cover!$B$2:$F$2</c:f>
              <c:numCache>
                <c:formatCode>_(* #,##0_);_(* \(#,##0\);_(* "-"??_);_(@_)</c:formatCode>
                <c:ptCount val="5"/>
                <c:pt idx="0">
                  <c:v>23734</c:v>
                </c:pt>
                <c:pt idx="1">
                  <c:v>28890</c:v>
                </c:pt>
                <c:pt idx="2">
                  <c:v>26700</c:v>
                </c:pt>
                <c:pt idx="3">
                  <c:v>25500</c:v>
                </c:pt>
                <c:pt idx="4">
                  <c:v>25500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2-4E58-BA15-BABD37FF50DF}"/>
            </c:ext>
          </c:extLst>
        </c:ser>
        <c:ser>
          <c:idx val="1"/>
          <c:order val="1"/>
          <c:tx>
            <c:strRef>
              <c:f>Cover!$A$3</c:f>
              <c:strCache>
                <c:ptCount val="1"/>
                <c:pt idx="0">
                  <c:v>Brazilian ending stocks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Cover!$B$1:$F$1</c:f>
              <c:strCache>
                <c:ptCount val="5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</c:strCache>
            </c:strRef>
          </c:cat>
          <c:val>
            <c:numRef>
              <c:f>Cover!$B$3:$F$3</c:f>
              <c:numCache>
                <c:formatCode>_(* #,##0_);_(* \(#,##0\);_(* "-"??_);_(@_)</c:formatCode>
                <c:ptCount val="5"/>
                <c:pt idx="0">
                  <c:v>32696</c:v>
                </c:pt>
                <c:pt idx="1">
                  <c:v>32472</c:v>
                </c:pt>
                <c:pt idx="2">
                  <c:v>20736</c:v>
                </c:pt>
                <c:pt idx="3">
                  <c:v>26336</c:v>
                </c:pt>
                <c:pt idx="4">
                  <c:v>27635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2-4E58-BA15-BABD37FF50DF}"/>
            </c:ext>
          </c:extLst>
        </c:ser>
        <c:ser>
          <c:idx val="2"/>
          <c:order val="2"/>
          <c:tx>
            <c:strRef>
              <c:f>COVER!#REF!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Cover!$B$1:$F$1</c:f>
              <c:strCache>
                <c:ptCount val="5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</c:strCache>
            </c:strRef>
          </c:cat>
          <c:val>
            <c:numRef>
              <c:f>COVER!#REF!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92-4E58-BA15-BABD37FF5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172272"/>
        <c:axId val="667170632"/>
      </c:barChart>
      <c:lineChart>
        <c:grouping val="standard"/>
        <c:varyColors val="0"/>
        <c:ser>
          <c:idx val="3"/>
          <c:order val="3"/>
          <c:tx>
            <c:strRef>
              <c:f>Cover!$A$4</c:f>
              <c:strCache>
                <c:ptCount val="1"/>
                <c:pt idx="0">
                  <c:v>Argentinian exports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Cover!$B$1:$F$1</c:f>
              <c:strCache>
                <c:ptCount val="5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</c:strCache>
            </c:strRef>
          </c:cat>
          <c:val>
            <c:numRef>
              <c:f>Cover!$B$4:$F$4</c:f>
              <c:numCache>
                <c:formatCode>_(* #,##0_);_(* \(#,##0\);_(* "-"??_);_(@_)</c:formatCode>
                <c:ptCount val="5"/>
                <c:pt idx="0">
                  <c:v>2132</c:v>
                </c:pt>
                <c:pt idx="1">
                  <c:v>9104</c:v>
                </c:pt>
                <c:pt idx="2">
                  <c:v>10002</c:v>
                </c:pt>
                <c:pt idx="3">
                  <c:v>3700</c:v>
                </c:pt>
                <c:pt idx="4">
                  <c:v>6350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92-4E58-BA15-BABD37FF50DF}"/>
            </c:ext>
          </c:extLst>
        </c:ser>
        <c:ser>
          <c:idx val="4"/>
          <c:order val="4"/>
          <c:tx>
            <c:strRef>
              <c:f>Cover!$A$5</c:f>
              <c:strCache>
                <c:ptCount val="1"/>
                <c:pt idx="0">
                  <c:v>Brazilian exports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Cover!$B$1:$F$1</c:f>
              <c:strCache>
                <c:ptCount val="5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</c:strCache>
            </c:strRef>
          </c:cat>
          <c:val>
            <c:numRef>
              <c:f>Cover!$B$5:$F$5</c:f>
              <c:numCache>
                <c:formatCode>_(* #,##0_);_(* \(#,##0\);_(* "-"??_);_(@_)</c:formatCode>
                <c:ptCount val="5"/>
                <c:pt idx="0">
                  <c:v>76136</c:v>
                </c:pt>
                <c:pt idx="1">
                  <c:v>74887</c:v>
                </c:pt>
                <c:pt idx="2">
                  <c:v>92135</c:v>
                </c:pt>
                <c:pt idx="3">
                  <c:v>83000</c:v>
                </c:pt>
                <c:pt idx="4">
                  <c:v>93000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92-4E58-BA15-BABD37FF5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15592"/>
        <c:axId val="549317232"/>
      </c:line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Stocks</a:t>
                </a:r>
                <a:r>
                  <a:rPr lang="en-US" sz="900" baseline="0"/>
                  <a:t> (t</a:t>
                </a:r>
                <a:r>
                  <a:rPr lang="en-US" sz="900"/>
                  <a:t>housand metric tons)</a:t>
                </a:r>
              </a:p>
            </c:rich>
          </c:tx>
          <c:layout>
            <c:manualLayout>
              <c:xMode val="edge"/>
              <c:yMode val="edge"/>
              <c:x val="1.2515644555694618E-2"/>
              <c:y val="5.06224929430991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54931723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Exports</a:t>
                </a:r>
                <a:r>
                  <a:rPr lang="en-US" sz="900" baseline="0"/>
                  <a:t> (t</a:t>
                </a:r>
                <a:r>
                  <a:rPr lang="en-US" sz="900"/>
                  <a:t>housand metric tons)</a:t>
                </a:r>
              </a:p>
            </c:rich>
          </c:tx>
          <c:layout>
            <c:manualLayout>
              <c:xMode val="edge"/>
              <c:yMode val="edge"/>
              <c:x val="0.81949303427184239"/>
              <c:y val="5.06224929430991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9315592"/>
        <c:crosses val="max"/>
        <c:crossBetween val="between"/>
      </c:valAx>
      <c:catAx>
        <c:axId val="549315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931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8037014772402512E-4"/>
          <c:y val="0.87924825434556531"/>
          <c:w val="0.99735331894526946"/>
          <c:h val="7.0437280245629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Historic</a:t>
            </a:r>
            <a:r>
              <a:rPr lang="en-US" sz="1050" b="1" baseline="0"/>
              <a:t> canola crop conditions snapshot</a:t>
            </a:r>
            <a:endParaRPr lang="en-US" sz="1050" b="1"/>
          </a:p>
        </c:rich>
      </c:tx>
      <c:layout>
        <c:manualLayout>
          <c:xMode val="edge"/>
          <c:yMode val="edge"/>
          <c:x val="1.0226310018190453E-2"/>
          <c:y val="3.03030303030303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94352639537596E-2"/>
          <c:y val="0.13356072536387498"/>
          <c:w val="0.8558358189391978"/>
          <c:h val="0.62741183488427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Percent of Montana crop rated good/excellent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2'!$A$2:$A$9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'Figure 2'!$B$2:$B$9</c:f>
              <c:numCache>
                <c:formatCode>General</c:formatCode>
                <c:ptCount val="8"/>
                <c:pt idx="0">
                  <c:v>60</c:v>
                </c:pt>
                <c:pt idx="1">
                  <c:v>58</c:v>
                </c:pt>
                <c:pt idx="2">
                  <c:v>75</c:v>
                </c:pt>
                <c:pt idx="3">
                  <c:v>9</c:v>
                </c:pt>
                <c:pt idx="4">
                  <c:v>84</c:v>
                </c:pt>
                <c:pt idx="5">
                  <c:v>65</c:v>
                </c:pt>
                <c:pt idx="6">
                  <c:v>95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1-491B-BAE7-AD882356E552}"/>
            </c:ext>
          </c:extLst>
        </c:ser>
        <c:ser>
          <c:idx val="1"/>
          <c:order val="1"/>
          <c:tx>
            <c:strRef>
              <c:f>'Figure 2'!$C$1</c:f>
              <c:strCache>
                <c:ptCount val="1"/>
                <c:pt idx="0">
                  <c:v>Percent of North Dakota crop rated good/excellent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2'!$A$2:$A$9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'Figure 2'!$C$2:$C$9</c:f>
              <c:numCache>
                <c:formatCode>General</c:formatCode>
                <c:ptCount val="8"/>
                <c:pt idx="0">
                  <c:v>83</c:v>
                </c:pt>
                <c:pt idx="1">
                  <c:v>76</c:v>
                </c:pt>
                <c:pt idx="2">
                  <c:v>83</c:v>
                </c:pt>
                <c:pt idx="3">
                  <c:v>42</c:v>
                </c:pt>
                <c:pt idx="4">
                  <c:v>77</c:v>
                </c:pt>
                <c:pt idx="5">
                  <c:v>69</c:v>
                </c:pt>
                <c:pt idx="6">
                  <c:v>70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1-491B-BAE7-AD882356E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6015632"/>
        <c:axId val="466012024"/>
      </c:barChart>
      <c:lineChart>
        <c:grouping val="standard"/>
        <c:varyColors val="0"/>
        <c:ser>
          <c:idx val="2"/>
          <c:order val="2"/>
          <c:tx>
            <c:strRef>
              <c:f>'Figure 2'!$D$1</c:f>
              <c:strCache>
                <c:ptCount val="1"/>
                <c:pt idx="0">
                  <c:v>National canola yield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2'!$D$2:$D$9</c:f>
              <c:numCache>
                <c:formatCode>General</c:formatCode>
                <c:ptCount val="8"/>
                <c:pt idx="0">
                  <c:v>1610</c:v>
                </c:pt>
                <c:pt idx="1">
                  <c:v>1679</c:v>
                </c:pt>
                <c:pt idx="2">
                  <c:v>1825</c:v>
                </c:pt>
                <c:pt idx="3">
                  <c:v>1526</c:v>
                </c:pt>
                <c:pt idx="4">
                  <c:v>1861</c:v>
                </c:pt>
                <c:pt idx="5">
                  <c:v>1781</c:v>
                </c:pt>
                <c:pt idx="6">
                  <c:v>1931</c:v>
                </c:pt>
                <c:pt idx="7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1-491B-BAE7-AD882356E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01400"/>
        <c:axId val="464004352"/>
      </c:lineChart>
      <c:catAx>
        <c:axId val="46601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6012024"/>
        <c:crosses val="autoZero"/>
        <c:auto val="1"/>
        <c:lblAlgn val="ctr"/>
        <c:lblOffset val="100"/>
        <c:noMultiLvlLbl val="0"/>
      </c:catAx>
      <c:valAx>
        <c:axId val="46601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Crop progress (percent)</a:t>
                </a:r>
              </a:p>
            </c:rich>
          </c:tx>
          <c:layout>
            <c:manualLayout>
              <c:xMode val="edge"/>
              <c:yMode val="edge"/>
              <c:x val="1.6240357287860333E-2"/>
              <c:y val="4.80240992603197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6015632"/>
        <c:crosses val="autoZero"/>
        <c:crossBetween val="between"/>
      </c:valAx>
      <c:valAx>
        <c:axId val="464004352"/>
        <c:scaling>
          <c:orientation val="minMax"/>
          <c:max val="2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Yield (pounds per acre)</a:t>
                </a:r>
              </a:p>
            </c:rich>
          </c:tx>
          <c:layout>
            <c:manualLayout>
              <c:xMode val="edge"/>
              <c:yMode val="edge"/>
              <c:x val="0.83041006902151848"/>
              <c:y val="4.65089477451682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r"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4001400"/>
        <c:crosses val="max"/>
        <c:crossBetween val="between"/>
      </c:valAx>
      <c:catAx>
        <c:axId val="464001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64004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01230175095347E-3"/>
          <c:y val="0.82303316630875689"/>
          <c:w val="0.99301984328694604"/>
          <c:h val="7.3936530660940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0</xdr:row>
      <xdr:rowOff>0</xdr:rowOff>
    </xdr:from>
    <xdr:to>
      <xdr:col>16</xdr:col>
      <xdr:colOff>0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DA3479-A8D8-4952-AF6F-607B3CF6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0.01377</cdr:x>
      <cdr:y>0.94043</cdr:y>
    </cdr:from>
    <cdr:to>
      <cdr:x>1</cdr:x>
      <cdr:y>0.9985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095042D7-1F8A-4BFE-8342-9EB62E5E4E4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20" y="3798023"/>
          <a:ext cx="6004560" cy="23451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30480</xdr:rowOff>
    </xdr:from>
    <xdr:to>
      <xdr:col>3</xdr:col>
      <xdr:colOff>1249680</xdr:colOff>
      <xdr:row>32</xdr:row>
      <xdr:rowOff>12192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B113F80A-C123-41B6-9975-2B8232F75A4F}"/>
            </a:ext>
          </a:extLst>
        </xdr:cNvPr>
        <xdr:cNvGrpSpPr/>
      </xdr:nvGrpSpPr>
      <xdr:grpSpPr>
        <a:xfrm>
          <a:off x="30480" y="30480"/>
          <a:ext cx="6987540" cy="5590032"/>
          <a:chOff x="30480" y="30480"/>
          <a:chExt cx="6987540" cy="5590032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49A6A9F9-DF36-4F65-8201-23E71341F6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480" y="30480"/>
            <a:ext cx="6987540" cy="5590032"/>
          </a:xfrm>
          <a:prstGeom prst="rect">
            <a:avLst/>
          </a:prstGeom>
        </xdr:spPr>
      </xdr:pic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85D9790A-AF8B-4116-9EBB-EBCA2B019828}"/>
              </a:ext>
            </a:extLst>
          </xdr:cNvPr>
          <xdr:cNvSpPr txBox="1"/>
        </xdr:nvSpPr>
        <xdr:spPr>
          <a:xfrm>
            <a:off x="76200" y="121920"/>
            <a:ext cx="4312920" cy="28956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U.S. soybean crop conditions as of July 11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A4725215-632A-488A-A053-42423F9D9394}"/>
              </a:ext>
            </a:extLst>
          </xdr:cNvPr>
          <xdr:cNvSpPr txBox="1"/>
        </xdr:nvSpPr>
        <xdr:spPr>
          <a:xfrm>
            <a:off x="4770120" y="2278380"/>
            <a:ext cx="617220" cy="2514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2020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DE022A66-5983-4C8D-B6BB-64D2E6FB32DD}"/>
              </a:ext>
            </a:extLst>
          </xdr:cNvPr>
          <xdr:cNvSpPr txBox="1"/>
        </xdr:nvSpPr>
        <xdr:spPr>
          <a:xfrm>
            <a:off x="4754880" y="4579620"/>
            <a:ext cx="617220" cy="2514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2021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ED8128EC-582D-435E-B5B1-7758F590B5E9}"/>
              </a:ext>
            </a:extLst>
          </xdr:cNvPr>
          <xdr:cNvSpPr txBox="1"/>
        </xdr:nvSpPr>
        <xdr:spPr>
          <a:xfrm>
            <a:off x="76200" y="5181600"/>
            <a:ext cx="6842760" cy="37338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Source: USDA, Economic Research Service using data from USDA, National Agricultural Statistics Service.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0</xdr:row>
      <xdr:rowOff>0</xdr:rowOff>
    </xdr:from>
    <xdr:to>
      <xdr:col>14</xdr:col>
      <xdr:colOff>304800</xdr:colOff>
      <xdr:row>22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9DDA5E-18FD-4A7C-9627-13D959127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0.01827</cdr:x>
      <cdr:y>0.94545</cdr:y>
    </cdr:from>
    <cdr:to>
      <cdr:x>0.99756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A5D4D3B-6579-4CC9-AD0F-0C28999EC2C2}"/>
            </a:ext>
          </a:extLst>
        </cdr:cNvPr>
        <cdr:cNvSpPr txBox="1"/>
      </cdr:nvSpPr>
      <cdr:spPr>
        <a:xfrm xmlns:a="http://schemas.openxmlformats.org/drawingml/2006/main">
          <a:off x="114297" y="3962389"/>
          <a:ext cx="6126458" cy="228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National Agricultural Statistics Service.</a:t>
          </a:r>
        </a:p>
      </cdr:txBody>
    </cdr:sp>
  </cdr:relSizeAnchor>
  <cdr:relSizeAnchor xmlns:cdr="http://schemas.openxmlformats.org/drawingml/2006/chartDrawing">
    <cdr:from>
      <cdr:x>0.02071</cdr:x>
      <cdr:y>0.89636</cdr:y>
    </cdr:from>
    <cdr:to>
      <cdr:x>0.99635</cdr:x>
      <cdr:y>0.94545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3993C89-824C-4C4B-968D-3607D5394240}"/>
            </a:ext>
          </a:extLst>
        </cdr:cNvPr>
        <cdr:cNvSpPr txBox="1"/>
      </cdr:nvSpPr>
      <cdr:spPr>
        <a:xfrm xmlns:a="http://schemas.openxmlformats.org/drawingml/2006/main">
          <a:off x="129540" y="3756660"/>
          <a:ext cx="610362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(*) denotes forecasted yield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>
      <selection activeCell="A18" sqref="A18"/>
    </sheetView>
  </sheetViews>
  <sheetFormatPr defaultColWidth="9.77734375" defaultRowHeight="13.8"/>
  <cols>
    <col min="1" max="1" width="166.88671875" style="160" bestFit="1" customWidth="1"/>
    <col min="2" max="16384" width="9.77734375" style="16"/>
  </cols>
  <sheetData>
    <row r="1" spans="1:3" ht="44.25" customHeight="1">
      <c r="A1" s="154"/>
    </row>
    <row r="2" spans="1:3">
      <c r="A2" s="155" t="s">
        <v>93</v>
      </c>
    </row>
    <row r="3" spans="1:3" s="17" customFormat="1">
      <c r="A3" s="156"/>
    </row>
    <row r="4" spans="1:3">
      <c r="A4" s="155" t="s">
        <v>94</v>
      </c>
    </row>
    <row r="5" spans="1:3">
      <c r="A5" s="157">
        <f ca="1">TODAY()</f>
        <v>44391</v>
      </c>
      <c r="B5" s="18"/>
    </row>
    <row r="6" spans="1:3" s="17" customFormat="1">
      <c r="A6" s="156"/>
      <c r="B6" s="18"/>
      <c r="C6" s="19"/>
    </row>
    <row r="7" spans="1:3">
      <c r="A7" s="158" t="s">
        <v>147</v>
      </c>
      <c r="B7" s="20"/>
      <c r="C7" s="17"/>
    </row>
    <row r="8" spans="1:3">
      <c r="A8" s="158" t="s">
        <v>138</v>
      </c>
      <c r="B8" s="21"/>
    </row>
    <row r="9" spans="1:3">
      <c r="A9" s="158" t="s">
        <v>139</v>
      </c>
      <c r="B9" s="21"/>
    </row>
    <row r="10" spans="1:3">
      <c r="A10" s="158" t="s">
        <v>140</v>
      </c>
      <c r="B10" s="21"/>
    </row>
    <row r="11" spans="1:3">
      <c r="A11" s="158" t="s">
        <v>141</v>
      </c>
      <c r="B11" s="21"/>
    </row>
    <row r="12" spans="1:3">
      <c r="A12" s="158" t="s">
        <v>142</v>
      </c>
      <c r="B12" s="21"/>
    </row>
    <row r="13" spans="1:3">
      <c r="A13" s="158" t="s">
        <v>143</v>
      </c>
      <c r="B13" s="21"/>
    </row>
    <row r="14" spans="1:3">
      <c r="A14" s="158" t="s">
        <v>144</v>
      </c>
      <c r="B14" s="21"/>
    </row>
    <row r="15" spans="1:3">
      <c r="A15" s="158" t="s">
        <v>145</v>
      </c>
      <c r="B15" s="21"/>
    </row>
    <row r="16" spans="1:3">
      <c r="A16" s="158" t="s">
        <v>146</v>
      </c>
      <c r="B16" s="21"/>
    </row>
    <row r="17" spans="1:2">
      <c r="A17" s="159" t="s">
        <v>175</v>
      </c>
      <c r="B17" s="21"/>
    </row>
    <row r="18" spans="1:2" s="140" customFormat="1" ht="22.8" customHeight="1">
      <c r="A18" s="23" t="s">
        <v>179</v>
      </c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53BA-0F24-4E95-A236-573FA48DC0D8}">
  <dimension ref="A1:A35"/>
  <sheetViews>
    <sheetView topLeftCell="A6" zoomScaleNormal="100" workbookViewId="0">
      <selection activeCell="E22" sqref="E22"/>
    </sheetView>
  </sheetViews>
  <sheetFormatPr defaultRowHeight="13.8"/>
  <cols>
    <col min="1" max="1" width="15.77734375" style="23" bestFit="1" customWidth="1"/>
    <col min="2" max="2" width="27.44140625" style="23" bestFit="1" customWidth="1"/>
    <col min="3" max="3" width="40.88671875" style="23" bestFit="1" customWidth="1"/>
    <col min="4" max="4" width="32.6640625" style="23" bestFit="1" customWidth="1"/>
    <col min="5" max="5" width="25.109375" style="23" bestFit="1" customWidth="1"/>
    <col min="6" max="6" width="26.6640625" style="23" bestFit="1" customWidth="1"/>
    <col min="7" max="16384" width="8.88671875" style="23"/>
  </cols>
  <sheetData>
    <row r="1" spans="1:1">
      <c r="A1"/>
    </row>
    <row r="35" spans="1:1">
      <c r="A35" s="23" t="s">
        <v>178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C798D-AE65-495E-9484-FC89E8F1DD04}">
  <dimension ref="A1:D9"/>
  <sheetViews>
    <sheetView workbookViewId="0">
      <selection activeCell="D20" sqref="D20"/>
    </sheetView>
  </sheetViews>
  <sheetFormatPr defaultRowHeight="14.4"/>
  <cols>
    <col min="1" max="1" width="5.5546875" style="169" bestFit="1" customWidth="1"/>
    <col min="2" max="2" width="46.21875" style="169" bestFit="1" customWidth="1"/>
    <col min="3" max="3" width="50.6640625" style="169" bestFit="1" customWidth="1"/>
    <col min="4" max="4" width="22" style="169" bestFit="1" customWidth="1"/>
    <col min="5" max="16384" width="8.88671875" style="169"/>
  </cols>
  <sheetData>
    <row r="1" spans="1:4">
      <c r="A1" s="171" t="s">
        <v>167</v>
      </c>
      <c r="B1" s="171" t="s">
        <v>176</v>
      </c>
      <c r="C1" s="171" t="s">
        <v>177</v>
      </c>
      <c r="D1" s="171" t="s">
        <v>174</v>
      </c>
    </row>
    <row r="2" spans="1:4">
      <c r="A2" s="170">
        <v>2014</v>
      </c>
      <c r="B2" s="170">
        <v>60</v>
      </c>
      <c r="C2" s="170">
        <v>83</v>
      </c>
      <c r="D2" s="170">
        <v>1610</v>
      </c>
    </row>
    <row r="3" spans="1:4">
      <c r="A3" s="170">
        <v>2015</v>
      </c>
      <c r="B3" s="170">
        <v>58</v>
      </c>
      <c r="C3" s="170">
        <v>76</v>
      </c>
      <c r="D3" s="170">
        <v>1679</v>
      </c>
    </row>
    <row r="4" spans="1:4">
      <c r="A4" s="170">
        <v>2016</v>
      </c>
      <c r="B4" s="170">
        <v>75</v>
      </c>
      <c r="C4" s="170">
        <v>83</v>
      </c>
      <c r="D4" s="170">
        <v>1825</v>
      </c>
    </row>
    <row r="5" spans="1:4">
      <c r="A5" s="170">
        <v>2017</v>
      </c>
      <c r="B5" s="170">
        <v>9</v>
      </c>
      <c r="C5" s="170">
        <v>42</v>
      </c>
      <c r="D5" s="170">
        <v>1526</v>
      </c>
    </row>
    <row r="6" spans="1:4">
      <c r="A6" s="170">
        <v>2018</v>
      </c>
      <c r="B6" s="170">
        <v>84</v>
      </c>
      <c r="C6" s="170">
        <v>77</v>
      </c>
      <c r="D6" s="170">
        <v>1861</v>
      </c>
    </row>
    <row r="7" spans="1:4">
      <c r="A7" s="170">
        <v>2019</v>
      </c>
      <c r="B7" s="170">
        <v>65</v>
      </c>
      <c r="C7" s="170">
        <v>69</v>
      </c>
      <c r="D7" s="170">
        <v>1781</v>
      </c>
    </row>
    <row r="8" spans="1:4">
      <c r="A8" s="170">
        <v>2020</v>
      </c>
      <c r="B8" s="170">
        <v>95</v>
      </c>
      <c r="C8" s="170">
        <v>70</v>
      </c>
      <c r="D8" s="170">
        <v>1931</v>
      </c>
    </row>
    <row r="9" spans="1:4">
      <c r="A9" s="170" t="s">
        <v>166</v>
      </c>
      <c r="B9" s="170">
        <v>45</v>
      </c>
      <c r="C9" s="170">
        <v>31</v>
      </c>
      <c r="D9" s="170">
        <v>1500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3"/>
  <sheetViews>
    <sheetView showGridLines="0" topLeftCell="A33" zoomScale="70" zoomScaleNormal="70" workbookViewId="0">
      <selection activeCell="S17" sqref="S17"/>
    </sheetView>
  </sheetViews>
  <sheetFormatPr defaultRowHeight="13.2"/>
  <cols>
    <col min="1" max="1" width="21.77734375" customWidth="1"/>
    <col min="2" max="2" width="11.5546875" customWidth="1"/>
    <col min="3" max="3" width="9.5546875" customWidth="1"/>
    <col min="4" max="4" width="26.77734375" customWidth="1"/>
    <col min="5" max="5" width="9.77734375" customWidth="1"/>
    <col min="6" max="6" width="10.77734375" customWidth="1"/>
    <col min="7" max="7" width="7.77734375" customWidth="1"/>
    <col min="8" max="8" width="9.77734375" customWidth="1"/>
    <col min="9" max="9" width="1.77734375" customWidth="1"/>
    <col min="10" max="10" width="9.77734375" customWidth="1"/>
    <col min="11" max="12" width="10.77734375" customWidth="1"/>
    <col min="13" max="13" width="10.33203125" customWidth="1"/>
    <col min="14" max="14" width="9.77734375" customWidth="1"/>
    <col min="17" max="17" width="15.44140625" bestFit="1" customWidth="1"/>
    <col min="18" max="18" width="10.109375" bestFit="1" customWidth="1"/>
  </cols>
  <sheetData>
    <row r="1" spans="1:23" ht="13.8">
      <c r="A1" s="22" t="s">
        <v>147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3" ht="13.8">
      <c r="A2" s="23"/>
      <c r="B2" s="111" t="s">
        <v>19</v>
      </c>
      <c r="C2" s="108"/>
      <c r="D2" s="25" t="s">
        <v>22</v>
      </c>
      <c r="E2" s="110"/>
      <c r="F2" s="108" t="s">
        <v>70</v>
      </c>
      <c r="G2" s="108"/>
      <c r="H2" s="108"/>
      <c r="I2" s="26"/>
      <c r="J2" s="110"/>
      <c r="K2" s="108"/>
      <c r="L2" s="112" t="s">
        <v>57</v>
      </c>
      <c r="M2" s="108"/>
      <c r="N2" s="23"/>
    </row>
    <row r="3" spans="1:23" ht="13.8">
      <c r="A3" s="23" t="s">
        <v>64</v>
      </c>
      <c r="B3" s="25" t="s">
        <v>20</v>
      </c>
      <c r="C3" s="23" t="s">
        <v>21</v>
      </c>
      <c r="D3" s="25"/>
      <c r="E3" s="27" t="s">
        <v>8</v>
      </c>
      <c r="F3" s="27"/>
      <c r="G3" s="27"/>
      <c r="H3" s="27"/>
      <c r="I3" s="27"/>
      <c r="J3" s="25" t="s">
        <v>59</v>
      </c>
      <c r="K3" s="27" t="s">
        <v>76</v>
      </c>
      <c r="L3" s="27"/>
      <c r="M3" s="27"/>
      <c r="N3" s="27" t="s">
        <v>6</v>
      </c>
    </row>
    <row r="4" spans="1:23" ht="13.8">
      <c r="A4" s="28" t="s">
        <v>67</v>
      </c>
      <c r="B4" s="29"/>
      <c r="C4" s="29"/>
      <c r="D4" s="29"/>
      <c r="E4" s="30" t="s">
        <v>7</v>
      </c>
      <c r="F4" s="30" t="s">
        <v>1</v>
      </c>
      <c r="G4" s="31" t="s">
        <v>2</v>
      </c>
      <c r="H4" s="32" t="s">
        <v>3</v>
      </c>
      <c r="I4" s="31"/>
      <c r="J4" s="31"/>
      <c r="K4" s="31" t="s">
        <v>5</v>
      </c>
      <c r="L4" s="32" t="s">
        <v>4</v>
      </c>
      <c r="M4" s="30" t="s">
        <v>3</v>
      </c>
      <c r="N4" s="31" t="s">
        <v>7</v>
      </c>
      <c r="W4" s="165"/>
    </row>
    <row r="5" spans="1:23" ht="14.4">
      <c r="A5" s="23"/>
      <c r="B5" s="106" t="s">
        <v>71</v>
      </c>
      <c r="C5" s="107"/>
      <c r="D5" s="33" t="s">
        <v>130</v>
      </c>
      <c r="G5" s="106"/>
      <c r="I5" s="106"/>
      <c r="J5" s="109" t="s">
        <v>118</v>
      </c>
      <c r="K5" s="106"/>
      <c r="L5" s="106"/>
      <c r="M5" s="106"/>
      <c r="N5" s="106"/>
      <c r="W5" s="165"/>
    </row>
    <row r="6" spans="1:23" ht="16.5" customHeight="1">
      <c r="A6" s="23" t="s">
        <v>119</v>
      </c>
      <c r="B6" s="34">
        <v>76.099999999999994</v>
      </c>
      <c r="C6" s="34">
        <v>74.938999999999993</v>
      </c>
      <c r="D6" s="34">
        <v>47.397323156167019</v>
      </c>
      <c r="E6" s="35">
        <v>909</v>
      </c>
      <c r="F6" s="36">
        <f>F28</f>
        <v>3551.9079999999999</v>
      </c>
      <c r="G6" s="37">
        <f t="shared" ref="G6:M6" si="0">G28</f>
        <v>15.380497616190002</v>
      </c>
      <c r="H6" s="37">
        <f t="shared" si="0"/>
        <v>4476.3404976161901</v>
      </c>
      <c r="I6" s="36">
        <f t="shared" si="0"/>
        <v>0</v>
      </c>
      <c r="J6" s="36">
        <f t="shared" si="0"/>
        <v>2164.5542333333333</v>
      </c>
      <c r="K6" s="36">
        <f t="shared" si="0"/>
        <v>108.00837187187693</v>
      </c>
      <c r="L6" s="37">
        <f t="shared" si="0"/>
        <v>1679.2368924109801</v>
      </c>
      <c r="M6" s="37">
        <f t="shared" si="0"/>
        <v>3951.7994976161904</v>
      </c>
      <c r="N6" s="37">
        <v>524.54100000000005</v>
      </c>
    </row>
    <row r="7" spans="1:23" ht="16.5" customHeight="1">
      <c r="A7" s="23" t="s">
        <v>122</v>
      </c>
      <c r="B7" s="34">
        <v>83.084000000000003</v>
      </c>
      <c r="C7" s="34">
        <v>82.317999999999998</v>
      </c>
      <c r="D7" s="34">
        <f>F7/C7</f>
        <v>50.232027017177288</v>
      </c>
      <c r="E7" s="35">
        <f>N6</f>
        <v>524.54100000000005</v>
      </c>
      <c r="F7" s="36">
        <v>4135</v>
      </c>
      <c r="G7" s="37">
        <v>20</v>
      </c>
      <c r="H7" s="37">
        <f>SUM(E7:G7)</f>
        <v>4679.5410000000002</v>
      </c>
      <c r="I7" s="23"/>
      <c r="J7" s="36">
        <v>2170</v>
      </c>
      <c r="K7" s="36">
        <v>106</v>
      </c>
      <c r="L7" s="37">
        <v>2270</v>
      </c>
      <c r="M7" s="37">
        <f>H7-N7</f>
        <v>4544.9809999999998</v>
      </c>
      <c r="N7" s="37">
        <v>134.56</v>
      </c>
    </row>
    <row r="8" spans="1:23" ht="16.5" customHeight="1">
      <c r="A8" s="23" t="s">
        <v>153</v>
      </c>
      <c r="B8" s="34">
        <v>87.6</v>
      </c>
      <c r="C8" s="173">
        <v>86.72</v>
      </c>
      <c r="D8" s="34">
        <v>50.795699999999997</v>
      </c>
      <c r="E8" s="35">
        <f>N7</f>
        <v>134.56</v>
      </c>
      <c r="F8" s="36">
        <v>4405</v>
      </c>
      <c r="G8" s="37">
        <v>35</v>
      </c>
      <c r="H8" s="37">
        <f>SUM(E8:G8)</f>
        <v>4574.5600000000004</v>
      </c>
      <c r="I8" s="23"/>
      <c r="J8" s="36">
        <v>2225</v>
      </c>
      <c r="K8" s="36">
        <v>119</v>
      </c>
      <c r="L8" s="37">
        <v>2075</v>
      </c>
      <c r="M8" s="37">
        <f>H8-N8</f>
        <v>4419.5200000000004</v>
      </c>
      <c r="N8" s="37">
        <v>155.04</v>
      </c>
    </row>
    <row r="9" spans="1:23" ht="16.5" customHeight="1">
      <c r="A9" s="26"/>
      <c r="B9" s="26"/>
      <c r="C9" s="26"/>
      <c r="D9" s="26"/>
      <c r="E9" s="39"/>
      <c r="F9" s="39"/>
      <c r="G9" s="40"/>
      <c r="H9" s="39"/>
      <c r="I9" s="39"/>
      <c r="J9" s="40"/>
      <c r="K9" s="40"/>
      <c r="L9" s="40"/>
      <c r="M9" s="40"/>
      <c r="N9" s="40"/>
    </row>
    <row r="10" spans="1:23" ht="16.5" customHeight="1">
      <c r="A10" s="26" t="s">
        <v>131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62"/>
    </row>
    <row r="11" spans="1:23" ht="16.5" customHeight="1">
      <c r="A11" s="135" t="s">
        <v>119</v>
      </c>
      <c r="B11" s="105"/>
      <c r="C11" s="105"/>
      <c r="D11" s="105"/>
      <c r="E11" s="105"/>
      <c r="F11" s="105"/>
      <c r="G11" s="44"/>
      <c r="H11" s="45"/>
      <c r="I11" s="113"/>
      <c r="J11" s="45"/>
      <c r="K11" s="45"/>
      <c r="L11" s="44"/>
      <c r="M11" s="44"/>
      <c r="N11" s="105"/>
    </row>
    <row r="12" spans="1:23" ht="16.5" customHeight="1">
      <c r="A12" s="26" t="s">
        <v>79</v>
      </c>
      <c r="B12" s="105"/>
      <c r="C12" s="105"/>
      <c r="D12" s="105"/>
      <c r="G12">
        <v>1.1725245363300003</v>
      </c>
      <c r="I12" s="105"/>
      <c r="J12" s="45">
        <f>4.870034*2000/60</f>
        <v>162.33446666666669</v>
      </c>
      <c r="K12" s="46"/>
      <c r="L12" s="44">
        <v>143.74667856213</v>
      </c>
      <c r="M12" s="44"/>
      <c r="N12" s="45"/>
    </row>
    <row r="13" spans="1:23" ht="16.5" customHeight="1">
      <c r="A13" s="26" t="s">
        <v>81</v>
      </c>
      <c r="B13" s="105"/>
      <c r="C13" s="105"/>
      <c r="D13" s="105"/>
      <c r="E13" s="41"/>
      <c r="F13" s="43"/>
      <c r="G13">
        <v>1.9575389893499999</v>
      </c>
      <c r="H13" s="45"/>
      <c r="I13" s="105"/>
      <c r="J13" s="45">
        <f>5.615616*2000/60</f>
        <v>187.18719999999999</v>
      </c>
      <c r="K13" s="46"/>
      <c r="L13" s="44">
        <v>216.57064533804001</v>
      </c>
      <c r="M13" s="44"/>
      <c r="N13" s="45"/>
    </row>
    <row r="14" spans="1:23" ht="16.5" customHeight="1">
      <c r="A14" s="26" t="s">
        <v>83</v>
      </c>
      <c r="B14" s="105"/>
      <c r="C14" s="105"/>
      <c r="D14" s="105"/>
      <c r="E14" s="41"/>
      <c r="F14" s="43"/>
      <c r="G14">
        <v>0.45755459862000003</v>
      </c>
      <c r="H14" s="45"/>
      <c r="I14" s="105"/>
      <c r="J14" s="45">
        <f>5.239452*2000/60</f>
        <v>174.64840000000001</v>
      </c>
      <c r="K14" s="46"/>
      <c r="L14" s="44">
        <v>251.11615715991002</v>
      </c>
      <c r="M14" s="44"/>
      <c r="N14" s="45"/>
    </row>
    <row r="15" spans="1:23" ht="16.5" customHeight="1">
      <c r="A15" s="26" t="s">
        <v>61</v>
      </c>
      <c r="B15" s="105"/>
      <c r="C15" s="105"/>
      <c r="D15" s="105"/>
      <c r="E15" s="41">
        <v>909.05200000000002</v>
      </c>
      <c r="F15" s="43">
        <f>3551.908</f>
        <v>3551.9079999999999</v>
      </c>
      <c r="G15" s="44">
        <f>SUM(G12:G14)</f>
        <v>3.5876181243000005</v>
      </c>
      <c r="H15" s="45">
        <f>E15+F15+G15</f>
        <v>4464.5476181243002</v>
      </c>
      <c r="I15" s="105"/>
      <c r="J15" s="45">
        <f>SUM(J12:J14)</f>
        <v>524.17006666666668</v>
      </c>
      <c r="K15" s="46">
        <f>M15-L15-J15</f>
        <v>76.456070397553731</v>
      </c>
      <c r="L15" s="44">
        <f>SUM(L12:L14)</f>
        <v>611.43348106008</v>
      </c>
      <c r="M15" s="44">
        <f>H15-N15</f>
        <v>1212.0596181243004</v>
      </c>
      <c r="N15" s="45">
        <v>3252.4879999999998</v>
      </c>
    </row>
    <row r="16" spans="1:23" ht="16.5" customHeight="1">
      <c r="A16" s="23" t="s">
        <v>84</v>
      </c>
      <c r="B16" s="105"/>
      <c r="C16" s="105"/>
      <c r="D16" s="105"/>
      <c r="E16" s="41"/>
      <c r="F16" s="44"/>
      <c r="G16" s="44">
        <v>1.3894519923899999</v>
      </c>
      <c r="H16" s="45"/>
      <c r="I16" s="105"/>
      <c r="J16" s="45">
        <f>5.542274*2000/60</f>
        <v>184.74246666666667</v>
      </c>
      <c r="K16" s="46"/>
      <c r="L16" s="44">
        <v>208.33637849367</v>
      </c>
      <c r="M16" s="44"/>
      <c r="N16" s="45"/>
    </row>
    <row r="17" spans="1:14" ht="16.5" customHeight="1">
      <c r="A17" s="23" t="s">
        <v>85</v>
      </c>
      <c r="B17" s="105"/>
      <c r="C17" s="105"/>
      <c r="D17" s="105"/>
      <c r="E17" s="41"/>
      <c r="F17" s="43"/>
      <c r="G17" s="44">
        <v>1.14185089557</v>
      </c>
      <c r="H17" s="45"/>
      <c r="I17" s="105"/>
      <c r="J17" s="45">
        <f>5.663403*2000/60</f>
        <v>188.78009999999998</v>
      </c>
      <c r="K17" s="46"/>
      <c r="L17" s="44">
        <v>190.41297065469001</v>
      </c>
      <c r="M17" s="44"/>
      <c r="N17" s="45"/>
    </row>
    <row r="18" spans="1:14" ht="16.5" customHeight="1">
      <c r="A18" s="23" t="s">
        <v>86</v>
      </c>
      <c r="B18" s="105"/>
      <c r="C18" s="105"/>
      <c r="D18" s="105"/>
      <c r="E18" s="41"/>
      <c r="F18" s="43"/>
      <c r="G18" s="44">
        <v>1.51921971768</v>
      </c>
      <c r="H18" s="45"/>
      <c r="I18" s="105"/>
      <c r="J18" s="45">
        <f>5.258777*2000/60</f>
        <v>175.29256666666666</v>
      </c>
      <c r="K18" s="46"/>
      <c r="L18" s="44">
        <v>107.68335798065999</v>
      </c>
      <c r="M18" s="105"/>
      <c r="N18" s="105"/>
    </row>
    <row r="19" spans="1:14" ht="16.5" customHeight="1">
      <c r="A19" s="23" t="s">
        <v>62</v>
      </c>
      <c r="B19" s="105"/>
      <c r="C19" s="105"/>
      <c r="D19" s="105"/>
      <c r="E19" s="41">
        <f>N15</f>
        <v>3252.4879999999998</v>
      </c>
      <c r="F19" s="43"/>
      <c r="G19" s="44">
        <f>SUM(G16:G18)</f>
        <v>4.0505226056399994</v>
      </c>
      <c r="H19" s="45">
        <f>E19+F19+G19</f>
        <v>3256.5385226056396</v>
      </c>
      <c r="I19" s="105"/>
      <c r="J19" s="45">
        <f>SUM(J16:J18)</f>
        <v>548.81513333333328</v>
      </c>
      <c r="K19" s="46">
        <f>M19-L19-J19</f>
        <v>-53.591317856713715</v>
      </c>
      <c r="L19" s="44">
        <f>SUM(L16:L18)</f>
        <v>506.43270712902</v>
      </c>
      <c r="M19" s="44">
        <f>H19-N19</f>
        <v>1001.6565226056396</v>
      </c>
      <c r="N19" s="45">
        <v>2254.8820000000001</v>
      </c>
    </row>
    <row r="20" spans="1:14" ht="16.5" customHeight="1">
      <c r="A20" s="23" t="s">
        <v>87</v>
      </c>
      <c r="B20" s="105"/>
      <c r="C20" s="105"/>
      <c r="D20" s="105"/>
      <c r="E20" s="41"/>
      <c r="F20" s="43"/>
      <c r="G20" s="44">
        <v>1.5598141574400002</v>
      </c>
      <c r="H20" s="45"/>
      <c r="I20" s="105"/>
      <c r="J20" s="45">
        <f>5.764867*2000/60</f>
        <v>192.16223333333335</v>
      </c>
      <c r="K20" s="46"/>
      <c r="L20" s="44">
        <v>90.950501137230006</v>
      </c>
      <c r="M20" s="44"/>
      <c r="N20" s="45"/>
    </row>
    <row r="21" spans="1:14" ht="16.5" customHeight="1">
      <c r="A21" s="23" t="s">
        <v>88</v>
      </c>
      <c r="B21" s="105"/>
      <c r="C21" s="105"/>
      <c r="D21" s="105"/>
      <c r="E21" s="41"/>
      <c r="F21" s="43"/>
      <c r="G21" s="44">
        <v>0.93560115873000005</v>
      </c>
      <c r="H21" s="45"/>
      <c r="I21" s="105"/>
      <c r="J21" s="45">
        <f>5.501825*2000/60</f>
        <v>183.39416666666665</v>
      </c>
      <c r="K21" s="46"/>
      <c r="L21" s="44">
        <v>81.652743011910005</v>
      </c>
      <c r="M21" s="44"/>
      <c r="N21" s="45"/>
    </row>
    <row r="22" spans="1:14" ht="16.5" customHeight="1">
      <c r="A22" s="23" t="s">
        <v>89</v>
      </c>
      <c r="B22" s="105"/>
      <c r="C22" s="105"/>
      <c r="D22" s="105"/>
      <c r="E22" s="41"/>
      <c r="F22" s="43"/>
      <c r="G22" s="44">
        <v>1.13467485096</v>
      </c>
      <c r="H22" s="45"/>
      <c r="I22" s="105"/>
      <c r="J22" s="45">
        <f>5.386534*2000/60</f>
        <v>179.55113333333335</v>
      </c>
      <c r="K22" s="46"/>
      <c r="L22" s="44">
        <v>70.537178513970005</v>
      </c>
      <c r="M22" s="44"/>
      <c r="N22" s="45"/>
    </row>
    <row r="23" spans="1:14" ht="16.5" customHeight="1">
      <c r="A23" s="23" t="s">
        <v>63</v>
      </c>
      <c r="B23" s="26"/>
      <c r="C23" s="26"/>
      <c r="D23" s="26"/>
      <c r="E23" s="41">
        <f>N19</f>
        <v>2254.8820000000001</v>
      </c>
      <c r="F23" s="47"/>
      <c r="G23" s="44">
        <f>SUM(G20:G22)</f>
        <v>3.6300901671300005</v>
      </c>
      <c r="H23" s="45">
        <f>E23+F23+G23</f>
        <v>2258.5120901671303</v>
      </c>
      <c r="I23" s="45"/>
      <c r="J23" s="45">
        <f>SUM(J20:J22)</f>
        <v>555.10753333333332</v>
      </c>
      <c r="K23" s="48">
        <f>M23-L23-J23</f>
        <v>78.870134170686924</v>
      </c>
      <c r="L23" s="44">
        <f>SUM(L20:L22)</f>
        <v>243.14042266311003</v>
      </c>
      <c r="M23" s="44">
        <f>H23-N23</f>
        <v>877.11809016713028</v>
      </c>
      <c r="N23" s="45">
        <v>1381.394</v>
      </c>
    </row>
    <row r="24" spans="1:14" ht="16.5" customHeight="1">
      <c r="A24" s="23" t="s">
        <v>124</v>
      </c>
      <c r="B24" s="26"/>
      <c r="C24" s="26"/>
      <c r="D24" s="26"/>
      <c r="E24" s="41"/>
      <c r="F24" s="47"/>
      <c r="G24" s="44">
        <v>1.65132801666</v>
      </c>
      <c r="H24" s="45"/>
      <c r="I24" s="45"/>
      <c r="J24" s="45">
        <f>5.318419*2000/60</f>
        <v>177.28063333333333</v>
      </c>
      <c r="K24" s="48"/>
      <c r="L24" s="44">
        <v>65.403010707930008</v>
      </c>
      <c r="M24" s="44"/>
      <c r="N24" s="45"/>
    </row>
    <row r="25" spans="1:14" ht="16.5" customHeight="1">
      <c r="A25" s="23" t="s">
        <v>125</v>
      </c>
      <c r="B25" s="26"/>
      <c r="C25" s="26"/>
      <c r="D25" s="26"/>
      <c r="E25" s="41"/>
      <c r="F25" s="47"/>
      <c r="G25" s="44">
        <v>1.7627238919500001</v>
      </c>
      <c r="H25" s="45"/>
      <c r="I25" s="45"/>
      <c r="J25" s="45">
        <f>5.535196*2000/60</f>
        <v>184.50653333333332</v>
      </c>
      <c r="K25" s="48"/>
      <c r="L25" s="44">
        <v>82.51330986087001</v>
      </c>
      <c r="M25" s="44"/>
      <c r="N25" s="45"/>
    </row>
    <row r="26" spans="1:14" ht="16.5" customHeight="1">
      <c r="A26" s="23" t="s">
        <v>126</v>
      </c>
      <c r="B26" s="26"/>
      <c r="C26" s="26"/>
      <c r="D26" s="26"/>
      <c r="E26" s="41"/>
      <c r="F26" s="47"/>
      <c r="G26" s="44">
        <v>0.69821481051000001</v>
      </c>
      <c r="H26" s="45"/>
      <c r="I26" s="45"/>
      <c r="J26" s="45">
        <f>5.24023*2000/60</f>
        <v>174.67433333333335</v>
      </c>
      <c r="K26" s="48"/>
      <c r="L26" s="44">
        <v>170.31396098997001</v>
      </c>
      <c r="M26" s="44"/>
      <c r="N26" s="45"/>
    </row>
    <row r="27" spans="1:14" ht="16.5" customHeight="1">
      <c r="A27" s="23" t="s">
        <v>129</v>
      </c>
      <c r="B27" s="26"/>
      <c r="C27" s="26"/>
      <c r="D27" s="26"/>
      <c r="E27" s="41">
        <f>N23</f>
        <v>1381.394</v>
      </c>
      <c r="F27" s="47"/>
      <c r="G27" s="44">
        <f>SUM(G24:G26)</f>
        <v>4.11226671912</v>
      </c>
      <c r="H27" s="45">
        <f>E27+F27+G27</f>
        <v>1385.50626671912</v>
      </c>
      <c r="I27" s="45"/>
      <c r="J27" s="45">
        <f>SUM(J24:J26)</f>
        <v>536.4615</v>
      </c>
      <c r="K27" s="48">
        <f>M27-L27-J27</f>
        <v>6.2734851603499919</v>
      </c>
      <c r="L27" s="44">
        <f>SUM(L24:L26)</f>
        <v>318.23028155877</v>
      </c>
      <c r="M27" s="44">
        <f>H27-N27</f>
        <v>860.96526671912</v>
      </c>
      <c r="N27" s="45">
        <v>524.54100000000005</v>
      </c>
    </row>
    <row r="28" spans="1:14" ht="16.5" customHeight="1">
      <c r="A28" s="23" t="s">
        <v>3</v>
      </c>
      <c r="B28" s="105"/>
      <c r="C28" s="105"/>
      <c r="D28" s="105"/>
      <c r="E28" s="41"/>
      <c r="F28" s="43">
        <f>F15</f>
        <v>3551.9079999999999</v>
      </c>
      <c r="G28" s="44">
        <f>G15+G19+G23+G27</f>
        <v>15.380497616190002</v>
      </c>
      <c r="H28" s="45">
        <f>E15+F28+G28</f>
        <v>4476.3404976161901</v>
      </c>
      <c r="I28" s="105"/>
      <c r="J28" s="45">
        <f>J15+J19+J23+J27</f>
        <v>2164.5542333333333</v>
      </c>
      <c r="K28" s="48">
        <f>K15+K19+K23+K27</f>
        <v>108.00837187187693</v>
      </c>
      <c r="L28" s="44">
        <f>L15+L19+L23+L27</f>
        <v>1679.2368924109801</v>
      </c>
      <c r="M28" s="44">
        <f>M15+M19+M23+M27</f>
        <v>3951.7994976161904</v>
      </c>
      <c r="N28" s="45"/>
    </row>
    <row r="29" spans="1:14" ht="16.5" customHeight="1">
      <c r="A29" s="23"/>
      <c r="B29" s="105"/>
      <c r="C29" s="105"/>
      <c r="D29" s="105"/>
      <c r="E29" s="41"/>
      <c r="F29" s="43"/>
      <c r="G29" s="44"/>
      <c r="H29" s="45"/>
      <c r="I29" s="105"/>
      <c r="J29" s="45"/>
      <c r="K29" s="48"/>
      <c r="L29" s="44"/>
      <c r="M29" s="44"/>
      <c r="N29" s="45"/>
    </row>
    <row r="30" spans="1:14" ht="16.5" customHeight="1">
      <c r="A30" s="135" t="s">
        <v>127</v>
      </c>
      <c r="B30" s="105"/>
      <c r="C30" s="105"/>
      <c r="D30" s="105"/>
      <c r="E30" s="41"/>
      <c r="F30" s="43"/>
      <c r="G30" s="44"/>
      <c r="H30" s="45"/>
      <c r="I30" s="105"/>
      <c r="J30" s="45"/>
      <c r="K30" s="48"/>
      <c r="L30" s="44"/>
      <c r="M30" s="44"/>
      <c r="N30" s="45"/>
    </row>
    <row r="31" spans="1:14" ht="16.5" customHeight="1">
      <c r="A31" s="26" t="s">
        <v>79</v>
      </c>
      <c r="B31" s="105"/>
      <c r="C31" s="105"/>
      <c r="D31" s="105"/>
      <c r="E31" s="41"/>
      <c r="F31" s="43"/>
      <c r="G31" s="44">
        <v>1.6361087761200002</v>
      </c>
      <c r="I31" s="105"/>
      <c r="J31" s="45">
        <f>5.131665*2000/60</f>
        <v>171.05549999999999</v>
      </c>
      <c r="K31" s="46"/>
      <c r="L31" s="44">
        <v>264.23439660828001</v>
      </c>
      <c r="M31" s="44"/>
      <c r="N31" s="45"/>
    </row>
    <row r="32" spans="1:14" ht="16.5" customHeight="1">
      <c r="A32" s="26" t="s">
        <v>81</v>
      </c>
      <c r="B32" s="105"/>
      <c r="C32" s="105"/>
      <c r="D32" s="105"/>
      <c r="E32" s="115"/>
      <c r="F32" s="43"/>
      <c r="G32" s="44">
        <v>0.91415018666999992</v>
      </c>
      <c r="I32" s="105"/>
      <c r="J32" s="45">
        <f>5.897079*2000/60</f>
        <v>196.5693</v>
      </c>
      <c r="K32" s="46"/>
      <c r="L32" s="44">
        <v>427.56455235228003</v>
      </c>
      <c r="M32" s="44"/>
      <c r="N32" s="45"/>
    </row>
    <row r="33" spans="1:73" ht="16.5" customHeight="1">
      <c r="A33" s="26" t="s">
        <v>83</v>
      </c>
      <c r="B33" s="105"/>
      <c r="C33" s="105"/>
      <c r="D33" s="105"/>
      <c r="E33" s="115"/>
      <c r="F33" s="43"/>
      <c r="G33" s="44">
        <v>0.45678665529000007</v>
      </c>
      <c r="I33" s="105"/>
      <c r="J33" s="45">
        <f>5.731207*2000/60</f>
        <v>191.04023333333333</v>
      </c>
      <c r="K33" s="46"/>
      <c r="L33" s="44">
        <v>399.30597211092004</v>
      </c>
      <c r="M33" s="44"/>
      <c r="N33" s="45"/>
    </row>
    <row r="34" spans="1:73" ht="16.5" customHeight="1">
      <c r="A34" s="26" t="s">
        <v>61</v>
      </c>
      <c r="B34" s="105"/>
      <c r="C34" s="105"/>
      <c r="D34" s="105"/>
      <c r="E34" s="41">
        <f>N27</f>
        <v>524.54100000000005</v>
      </c>
      <c r="F34" s="43">
        <v>4135.4769999999999</v>
      </c>
      <c r="G34" s="44">
        <f>G31+G32+G33</f>
        <v>3.0070456180800003</v>
      </c>
      <c r="H34" s="45">
        <f>E34+F34+G34</f>
        <v>4663.0250456180802</v>
      </c>
      <c r="I34" s="105"/>
      <c r="J34" s="45">
        <f>J31+J32+J33</f>
        <v>558.66503333333333</v>
      </c>
      <c r="K34" s="46">
        <f>M34-L34-J34</f>
        <v>66.515091213267056</v>
      </c>
      <c r="L34" s="44">
        <f>L31+L32+L33</f>
        <v>1091.10492107148</v>
      </c>
      <c r="M34" s="44">
        <f>H34-N34</f>
        <v>1716.2850456180804</v>
      </c>
      <c r="N34" s="45">
        <v>2946.74</v>
      </c>
    </row>
    <row r="35" spans="1:73" ht="16.8" customHeight="1">
      <c r="A35" s="23" t="s">
        <v>47</v>
      </c>
      <c r="B35" s="105"/>
      <c r="C35" s="105"/>
      <c r="D35" s="105"/>
      <c r="E35" s="41"/>
      <c r="F35" s="44"/>
      <c r="G35" s="44">
        <v>0.86078731115999996</v>
      </c>
      <c r="H35" s="45"/>
      <c r="I35" s="105"/>
      <c r="J35" s="45">
        <f>5.794233*2000/60</f>
        <v>193.14109999999999</v>
      </c>
      <c r="K35" s="46"/>
      <c r="L35" s="44">
        <v>383.79524012445</v>
      </c>
      <c r="M35" s="44"/>
      <c r="N35" s="45"/>
    </row>
    <row r="36" spans="1:73" ht="16.8" customHeight="1">
      <c r="A36" s="23" t="s">
        <v>48</v>
      </c>
      <c r="B36" s="105"/>
      <c r="C36" s="105"/>
      <c r="D36" s="105"/>
      <c r="E36" s="41"/>
      <c r="F36" s="44"/>
      <c r="G36" s="44">
        <v>0.72157278060000007</v>
      </c>
      <c r="H36" s="45"/>
      <c r="I36" s="105"/>
      <c r="J36" s="45">
        <f>5.89536*2000/60</f>
        <v>196.51200000000003</v>
      </c>
      <c r="K36" s="46"/>
      <c r="L36" s="44">
        <v>324.42113571251997</v>
      </c>
      <c r="M36" s="44"/>
      <c r="N36" s="45"/>
    </row>
    <row r="37" spans="1:73" ht="16.8" customHeight="1">
      <c r="A37" s="23" t="s">
        <v>49</v>
      </c>
      <c r="B37" s="105"/>
      <c r="C37" s="105"/>
      <c r="D37" s="105"/>
      <c r="E37" s="41"/>
      <c r="F37" s="44"/>
      <c r="G37" s="44">
        <v>0.82867699172999998</v>
      </c>
      <c r="H37" s="45"/>
      <c r="I37" s="105"/>
      <c r="J37" s="45">
        <f>4.930499*2000/60</f>
        <v>164.34996666666666</v>
      </c>
      <c r="K37" s="46"/>
      <c r="L37" s="44">
        <v>167.50376607026999</v>
      </c>
      <c r="M37" s="44"/>
      <c r="N37" s="45"/>
    </row>
    <row r="38" spans="1:73" ht="16.8" customHeight="1">
      <c r="A38" s="23" t="s">
        <v>62</v>
      </c>
      <c r="B38" s="105"/>
      <c r="C38" s="105"/>
      <c r="D38" s="105"/>
      <c r="E38" s="41">
        <f>N34</f>
        <v>2946.74</v>
      </c>
      <c r="F38" s="44"/>
      <c r="G38" s="44">
        <f>SUM(G35:G37)</f>
        <v>2.4110370834900001</v>
      </c>
      <c r="H38" s="45">
        <f>E38+F38+G38</f>
        <v>2949.1510370834899</v>
      </c>
      <c r="I38" s="105"/>
      <c r="J38" s="45">
        <f>SUM(J35:J37)</f>
        <v>554.00306666666665</v>
      </c>
      <c r="K38" s="46">
        <f>M38-L38-J38</f>
        <v>-42.256171490416705</v>
      </c>
      <c r="L38" s="44">
        <f>SUM(L35:L37)</f>
        <v>875.72014190723996</v>
      </c>
      <c r="M38" s="44">
        <f>H38-N38</f>
        <v>1387.4670370834899</v>
      </c>
      <c r="N38" s="162">
        <v>1561.684</v>
      </c>
    </row>
    <row r="39" spans="1:73" ht="16.8" customHeight="1">
      <c r="A39" s="23" t="s">
        <v>50</v>
      </c>
      <c r="B39" s="105"/>
      <c r="C39" s="105"/>
      <c r="D39" s="105"/>
      <c r="E39" s="41"/>
      <c r="F39" s="44"/>
      <c r="G39" s="44">
        <v>0.96057952599000018</v>
      </c>
      <c r="H39" s="45"/>
      <c r="I39" s="105"/>
      <c r="J39" s="45">
        <f>5.646728*2000/60</f>
        <v>188.22426666666667</v>
      </c>
      <c r="K39" s="46"/>
      <c r="L39" s="44">
        <v>84.331266882659989</v>
      </c>
      <c r="M39" s="44"/>
      <c r="N39" s="127"/>
    </row>
    <row r="40" spans="1:73" ht="16.8" customHeight="1">
      <c r="A40" s="23" t="s">
        <v>51</v>
      </c>
      <c r="B40" s="105"/>
      <c r="C40" s="105"/>
      <c r="D40" s="105"/>
      <c r="E40" s="41"/>
      <c r="F40" s="44"/>
      <c r="G40" s="44">
        <v>1.2762593501700001</v>
      </c>
      <c r="H40" s="45"/>
      <c r="I40" s="105"/>
      <c r="J40" s="133">
        <v>169.9</v>
      </c>
      <c r="K40" s="46"/>
      <c r="L40" s="44">
        <v>50.88724667628</v>
      </c>
      <c r="M40" s="44"/>
      <c r="N40" s="127"/>
    </row>
    <row r="41" spans="1:73" ht="16.8" customHeight="1">
      <c r="A41" s="23" t="s">
        <v>52</v>
      </c>
      <c r="B41" s="105"/>
      <c r="C41" s="105"/>
      <c r="D41" s="105"/>
      <c r="E41" s="41"/>
      <c r="F41" s="147"/>
      <c r="G41" s="147">
        <v>1.8756225845699999</v>
      </c>
      <c r="H41" s="45"/>
      <c r="I41" s="105"/>
      <c r="J41" s="133">
        <v>173.5</v>
      </c>
      <c r="K41" s="46"/>
      <c r="L41" s="147">
        <v>46.542697308870004</v>
      </c>
      <c r="M41" s="147"/>
      <c r="N41" s="127"/>
    </row>
    <row r="42" spans="1:73" ht="16.8" customHeight="1">
      <c r="A42" s="23" t="s">
        <v>165</v>
      </c>
      <c r="B42" s="105"/>
      <c r="C42" s="105"/>
      <c r="D42" s="105"/>
      <c r="E42" s="41">
        <f>N38</f>
        <v>1561.684</v>
      </c>
      <c r="F42" s="147"/>
      <c r="G42" s="147">
        <f>SUM(G39:G41)</f>
        <v>4.1124614607299996</v>
      </c>
      <c r="H42" s="45">
        <f>E42+F42+G42</f>
        <v>1565.7964614607299</v>
      </c>
      <c r="I42" s="105"/>
      <c r="J42" s="133">
        <f>SUM(J39:J41)</f>
        <v>531.6242666666667</v>
      </c>
      <c r="K42" s="46">
        <f>M42-L42-J42</f>
        <v>85.629983926253317</v>
      </c>
      <c r="L42" s="147">
        <f>SUM(L39:L41)</f>
        <v>181.76121086781001</v>
      </c>
      <c r="M42" s="147">
        <f>H42-N42</f>
        <v>799.01546146072997</v>
      </c>
      <c r="N42" s="162">
        <v>766.78099999999995</v>
      </c>
    </row>
    <row r="43" spans="1:73" ht="16.5" customHeight="1">
      <c r="A43" s="22" t="s">
        <v>128</v>
      </c>
      <c r="B43" s="103"/>
      <c r="C43" s="103"/>
      <c r="D43" s="103"/>
      <c r="E43" s="119"/>
      <c r="F43" s="120">
        <f>F34</f>
        <v>4135.4769999999999</v>
      </c>
      <c r="G43" s="49">
        <f>G34+G38+SUM(G39:G41)</f>
        <v>9.5305441623</v>
      </c>
      <c r="H43" s="104">
        <f>E34+F43+G43</f>
        <v>4669.5485441623005</v>
      </c>
      <c r="I43" s="103"/>
      <c r="J43" s="104">
        <f>J34+J38+SUM(J39:J41)</f>
        <v>1644.2923666666666</v>
      </c>
      <c r="K43" s="121">
        <f>SUM(K31:K38)</f>
        <v>24.258919722850351</v>
      </c>
      <c r="L43" s="49">
        <f>L34+L38+SUM(L39:L41)</f>
        <v>2148.5862738465298</v>
      </c>
      <c r="M43" s="49">
        <f>SUM(M31:M38)</f>
        <v>3103.7520827015705</v>
      </c>
      <c r="N43" s="122"/>
    </row>
    <row r="44" spans="1:73" ht="16.5" customHeight="1">
      <c r="A44" s="50" t="s">
        <v>120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51"/>
      <c r="M44" s="26"/>
      <c r="N44" s="26"/>
    </row>
    <row r="45" spans="1:73" ht="16.5" customHeight="1">
      <c r="A45" s="23" t="s">
        <v>148</v>
      </c>
      <c r="B45" s="23"/>
      <c r="C45" s="23"/>
      <c r="D45" s="23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73" ht="16.5" customHeight="1">
      <c r="A46" s="27" t="s">
        <v>18</v>
      </c>
      <c r="B46" s="53">
        <f ca="1">NOW()</f>
        <v>44391.598262037034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8"/>
      <c r="P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</row>
    <row r="47" spans="1:73">
      <c r="O47" s="8"/>
      <c r="P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</row>
    <row r="48" spans="1:73">
      <c r="O48" s="8"/>
      <c r="P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</row>
    <row r="49" spans="6:73">
      <c r="O49" s="8"/>
      <c r="P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</row>
    <row r="50" spans="6:73">
      <c r="F50" s="13"/>
      <c r="O50" s="8"/>
      <c r="P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</row>
    <row r="51" spans="6:73">
      <c r="O51" s="8"/>
      <c r="P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</row>
    <row r="52" spans="6:73">
      <c r="O52" s="8"/>
      <c r="P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</row>
    <row r="53" spans="6:73">
      <c r="O53" s="8"/>
      <c r="P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</row>
    <row r="54" spans="6:73">
      <c r="O54" s="8"/>
      <c r="P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</row>
    <row r="55" spans="6:73">
      <c r="O55" s="8"/>
      <c r="P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</row>
    <row r="56" spans="6:73">
      <c r="O56" s="8"/>
      <c r="P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</row>
    <row r="57" spans="6:73">
      <c r="O57" s="8"/>
      <c r="P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</row>
    <row r="58" spans="6:73">
      <c r="O58" s="8"/>
      <c r="P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</row>
    <row r="59" spans="6:73">
      <c r="O59" s="8"/>
      <c r="P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</row>
    <row r="60" spans="6:73">
      <c r="O60" s="8"/>
      <c r="P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</row>
    <row r="61" spans="6:73">
      <c r="O61" s="8"/>
      <c r="P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</row>
    <row r="62" spans="6:73">
      <c r="O62" s="8"/>
      <c r="P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</row>
    <row r="63" spans="6:73">
      <c r="O63" s="8"/>
      <c r="P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</row>
    <row r="64" spans="6:73">
      <c r="O64" s="8"/>
      <c r="P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</row>
    <row r="65" spans="15:73">
      <c r="O65" s="8"/>
      <c r="P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</row>
    <row r="66" spans="15:73">
      <c r="O66" s="8"/>
      <c r="P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</row>
    <row r="67" spans="15:73">
      <c r="O67" s="8"/>
      <c r="P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</row>
    <row r="68" spans="15:73">
      <c r="O68" s="8"/>
      <c r="P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</row>
    <row r="69" spans="15:73">
      <c r="O69" s="8"/>
      <c r="P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</row>
    <row r="70" spans="15:73">
      <c r="O70" s="8"/>
      <c r="P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</row>
    <row r="71" spans="15:73">
      <c r="O71" s="8"/>
      <c r="P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</row>
    <row r="72" spans="15:73">
      <c r="O72" s="8"/>
      <c r="P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</row>
    <row r="73" spans="15:73">
      <c r="O73" s="8"/>
      <c r="P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</row>
    <row r="74" spans="15:73"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</row>
    <row r="75" spans="15:73"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</row>
    <row r="76" spans="15:73"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</row>
    <row r="77" spans="15:73"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</row>
    <row r="78" spans="15:73"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</row>
    <row r="79" spans="15:73"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</row>
    <row r="80" spans="15:73"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</row>
    <row r="81" spans="15:73"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</row>
    <row r="82" spans="15:73"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</row>
    <row r="83" spans="15:73"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</row>
    <row r="84" spans="15:73"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</row>
    <row r="85" spans="15:73"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</row>
    <row r="86" spans="15:73"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</row>
    <row r="87" spans="15:73"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</row>
    <row r="88" spans="15:73"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</row>
    <row r="89" spans="15:73"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</row>
    <row r="90" spans="15:73"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</row>
    <row r="91" spans="15:73"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</row>
    <row r="92" spans="15:73"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</row>
    <row r="93" spans="15:73"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</row>
    <row r="94" spans="15:73"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</row>
    <row r="95" spans="15:73"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</row>
    <row r="96" spans="15:73"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</row>
    <row r="97" spans="15:73"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</row>
    <row r="98" spans="15:73"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</row>
    <row r="99" spans="15:73"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</row>
    <row r="100" spans="15:73"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</row>
    <row r="101" spans="15:73"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</row>
    <row r="102" spans="15:73"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</row>
    <row r="103" spans="15:73"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</row>
    <row r="104" spans="15:73"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</row>
    <row r="105" spans="15:73"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</row>
    <row r="106" spans="15:73"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</row>
    <row r="107" spans="15:73"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</row>
    <row r="108" spans="15:73"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</row>
    <row r="109" spans="15:73"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</row>
    <row r="110" spans="15:73"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</row>
    <row r="111" spans="15:73"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</row>
    <row r="112" spans="15:73"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</row>
    <row r="113" spans="15:73"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</row>
    <row r="114" spans="15:73"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</row>
    <row r="115" spans="15:73"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</row>
    <row r="116" spans="15:73"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</row>
    <row r="117" spans="15:73"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</row>
    <row r="118" spans="15:73"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</row>
    <row r="119" spans="15:73"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</row>
    <row r="120" spans="15:73"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</row>
    <row r="121" spans="15:73"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</row>
    <row r="122" spans="15:73"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</row>
    <row r="123" spans="15:73"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</row>
    <row r="124" spans="15:73"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</row>
    <row r="125" spans="15:73"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</row>
    <row r="126" spans="15:73"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</row>
    <row r="127" spans="15:73"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</row>
    <row r="128" spans="15:73"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</row>
    <row r="129" spans="15:73"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</row>
    <row r="130" spans="15:73"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</row>
    <row r="131" spans="15:73"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</row>
    <row r="132" spans="15:73"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</row>
    <row r="133" spans="15:73"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</row>
    <row r="134" spans="15:73"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</row>
    <row r="135" spans="15:73"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</row>
    <row r="136" spans="15:73"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</row>
    <row r="137" spans="15:73"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</row>
    <row r="138" spans="15:73"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</row>
    <row r="139" spans="15:73"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</row>
    <row r="140" spans="15:73"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</row>
    <row r="141" spans="15:73"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</row>
    <row r="142" spans="15:73"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</row>
    <row r="143" spans="15:73"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</row>
    <row r="144" spans="15:73"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</row>
    <row r="145" spans="15:73"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</row>
    <row r="146" spans="15:73"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</row>
    <row r="147" spans="15:73"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</row>
    <row r="148" spans="15:73"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</row>
    <row r="149" spans="15:73"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</row>
    <row r="150" spans="15:73"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</row>
    <row r="151" spans="15:73"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</row>
    <row r="152" spans="15:73"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</row>
    <row r="153" spans="15:73"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</row>
    <row r="154" spans="15:73"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</row>
    <row r="155" spans="15:73"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</row>
    <row r="156" spans="15:73"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</row>
    <row r="157" spans="15:73"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</row>
    <row r="158" spans="15:73"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</row>
    <row r="159" spans="15:73"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</row>
    <row r="160" spans="15:73"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</row>
    <row r="161" spans="15:73"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</row>
    <row r="162" spans="15:73"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</row>
    <row r="163" spans="15:73"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</row>
    <row r="164" spans="15:73"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</row>
    <row r="165" spans="15:73"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</row>
    <row r="166" spans="15:73"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</row>
    <row r="167" spans="15:73"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</row>
    <row r="168" spans="15:73"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</row>
    <row r="169" spans="15:73"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</row>
    <row r="170" spans="15:73"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</row>
    <row r="171" spans="15:73"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</row>
    <row r="172" spans="15:73"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</row>
    <row r="173" spans="15:73"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</row>
    <row r="174" spans="15:73"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</row>
    <row r="175" spans="15:73"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</row>
    <row r="176" spans="15:73"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</row>
    <row r="177" spans="15:73"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</row>
    <row r="178" spans="15:73"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</row>
    <row r="179" spans="15:73"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</row>
    <row r="180" spans="15:73"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</row>
    <row r="181" spans="15:73"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</row>
    <row r="182" spans="15:73"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</row>
    <row r="183" spans="15:73"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</row>
    <row r="184" spans="15:73"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</row>
    <row r="185" spans="15:73"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</row>
    <row r="186" spans="15:73"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</row>
    <row r="187" spans="15:73"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</row>
    <row r="188" spans="15:73"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</row>
    <row r="189" spans="15:73"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</row>
    <row r="190" spans="15:73"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</row>
    <row r="191" spans="15:73"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</row>
    <row r="192" spans="15:73"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</row>
    <row r="193" spans="15:73"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</row>
    <row r="194" spans="15:73"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</row>
    <row r="195" spans="15:73"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</row>
    <row r="196" spans="15:73"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</row>
    <row r="197" spans="15:73"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</row>
    <row r="198" spans="15:73"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</row>
    <row r="199" spans="15:73"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</row>
    <row r="200" spans="15:73"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</row>
    <row r="201" spans="15:73"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</row>
    <row r="202" spans="15:73"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</row>
    <row r="203" spans="15:73"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</row>
    <row r="204" spans="15:73"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</row>
    <row r="205" spans="15:73"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</row>
    <row r="206" spans="15:73"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</row>
    <row r="207" spans="15:73"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</row>
    <row r="208" spans="15:73"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</row>
    <row r="209" spans="15:73"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</row>
    <row r="210" spans="15:73"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</row>
    <row r="211" spans="15:73"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</row>
    <row r="212" spans="15:73"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</row>
    <row r="213" spans="15:73"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</row>
    <row r="214" spans="15:73"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</row>
    <row r="215" spans="15:73"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</row>
    <row r="216" spans="15:73"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</row>
    <row r="217" spans="15:73"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</row>
    <row r="218" spans="15:73"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</row>
    <row r="219" spans="15:73"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</row>
    <row r="220" spans="15:73"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</row>
    <row r="221" spans="15:73"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</row>
    <row r="222" spans="15:73"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</row>
    <row r="223" spans="15:73"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</row>
    <row r="224" spans="15:73"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</row>
    <row r="225" spans="15:73"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</row>
    <row r="226" spans="15:73"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</row>
    <row r="227" spans="15:73"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</row>
    <row r="228" spans="15:73"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</row>
    <row r="229" spans="15:73"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</row>
    <row r="230" spans="15:73"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</row>
    <row r="231" spans="15:73"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</row>
    <row r="232" spans="15:73"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</row>
    <row r="233" spans="15:73"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</row>
    <row r="234" spans="15:73"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</row>
    <row r="235" spans="15:73"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</row>
    <row r="236" spans="15:73"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</row>
    <row r="237" spans="15:73"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</row>
    <row r="238" spans="15:73"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</row>
    <row r="239" spans="15:73"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</row>
    <row r="240" spans="15:73"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</row>
    <row r="241" spans="15:73"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</row>
    <row r="242" spans="15:73"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</row>
    <row r="243" spans="15:73"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</row>
    <row r="244" spans="15:73"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</row>
    <row r="245" spans="15:73"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</row>
    <row r="246" spans="15:73"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</row>
    <row r="247" spans="15:73"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</row>
    <row r="248" spans="15:73"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</row>
    <row r="249" spans="15:73"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</row>
    <row r="250" spans="15:73"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</row>
    <row r="251" spans="15:73"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</row>
    <row r="252" spans="15:73"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</row>
    <row r="253" spans="15:73"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</row>
    <row r="254" spans="15:73"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</row>
    <row r="255" spans="15:73"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</row>
    <row r="256" spans="15:73"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</row>
    <row r="257" spans="15:73"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</row>
    <row r="258" spans="15:73"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</row>
    <row r="259" spans="15:73"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</row>
    <row r="260" spans="15:73"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</row>
    <row r="261" spans="15:73"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</row>
    <row r="262" spans="15:73"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</row>
    <row r="263" spans="15:73"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</row>
    <row r="264" spans="15:73"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</row>
    <row r="265" spans="15:73"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</row>
    <row r="266" spans="15:73"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</row>
    <row r="267" spans="15:73"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</row>
    <row r="268" spans="15:73"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</row>
    <row r="269" spans="15:73"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</row>
    <row r="270" spans="15:73"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</row>
    <row r="271" spans="15:73"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</row>
    <row r="272" spans="15:73"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</row>
    <row r="273" spans="15:73"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</row>
    <row r="274" spans="15:73"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</row>
    <row r="275" spans="15:73"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</row>
    <row r="276" spans="15:73"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</row>
    <row r="277" spans="15:73"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</row>
    <row r="278" spans="15:73"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</row>
    <row r="279" spans="15:73"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</row>
    <row r="280" spans="15:73"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</row>
    <row r="281" spans="15:73"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</row>
    <row r="282" spans="15:73"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</row>
    <row r="283" spans="15:73"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</row>
    <row r="284" spans="15:73"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</row>
    <row r="285" spans="15:73"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</row>
    <row r="286" spans="15:73"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</row>
    <row r="287" spans="15:73"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</row>
    <row r="288" spans="15:73"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</row>
    <row r="289" spans="15:73"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</row>
    <row r="290" spans="15:73"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</row>
    <row r="291" spans="15:73"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</row>
    <row r="292" spans="15:73"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</row>
    <row r="293" spans="15:73"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</row>
    <row r="294" spans="15:73"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</row>
    <row r="295" spans="15:73"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</row>
    <row r="296" spans="15:73"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</row>
    <row r="297" spans="15:73"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</row>
    <row r="298" spans="15:73"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</row>
    <row r="299" spans="15:73"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</row>
    <row r="300" spans="15:73"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</row>
    <row r="301" spans="15:73"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</row>
    <row r="302" spans="15:73"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</row>
    <row r="303" spans="15:73"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</row>
    <row r="304" spans="15:73"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</row>
    <row r="305" spans="15:73"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</row>
    <row r="306" spans="15:73"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</row>
    <row r="307" spans="15:73"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</row>
    <row r="308" spans="15:73"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</row>
    <row r="309" spans="15:73"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</row>
    <row r="310" spans="15:73"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</row>
    <row r="311" spans="15:73"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</row>
    <row r="312" spans="15:73"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</row>
    <row r="313" spans="15:73"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</row>
    <row r="314" spans="15:73"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</row>
    <row r="315" spans="15:73"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</row>
    <row r="316" spans="15:73"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</row>
    <row r="317" spans="15:73"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</row>
    <row r="318" spans="15:73"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</row>
    <row r="319" spans="15:73"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</row>
    <row r="320" spans="15:73"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</row>
    <row r="321" spans="15:73"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</row>
    <row r="322" spans="15:73"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</row>
    <row r="323" spans="15:73"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</row>
    <row r="324" spans="15:73"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</row>
    <row r="325" spans="15:73"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</row>
    <row r="326" spans="15:73"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</row>
    <row r="327" spans="15:73"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</row>
    <row r="328" spans="15:73"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</row>
    <row r="329" spans="15:73"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</row>
    <row r="330" spans="15:73"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</row>
    <row r="331" spans="15:73"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</row>
    <row r="332" spans="15:73"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</row>
    <row r="333" spans="15:73"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</row>
    <row r="334" spans="15:73"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</row>
    <row r="335" spans="15:73"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</row>
    <row r="336" spans="15:73"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</row>
    <row r="337" spans="15:73"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</row>
    <row r="338" spans="15:73"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</row>
    <row r="339" spans="15:73"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</row>
    <row r="340" spans="15:73"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</row>
    <row r="341" spans="15:73"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</row>
    <row r="342" spans="15:73"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</row>
    <row r="343" spans="15:73"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</row>
    <row r="344" spans="15:73"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</row>
    <row r="345" spans="15:73"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</row>
    <row r="346" spans="15:73"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</row>
    <row r="347" spans="15:73"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</row>
    <row r="348" spans="15:73"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</row>
    <row r="349" spans="15:73"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</row>
    <row r="350" spans="15:73"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</row>
    <row r="351" spans="15:73"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</row>
    <row r="352" spans="15:73"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</row>
    <row r="353" spans="15:73"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</row>
    <row r="354" spans="15:73"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</row>
    <row r="355" spans="15:73"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</row>
    <row r="356" spans="15:73"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</row>
    <row r="357" spans="15:73"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</row>
    <row r="358" spans="15:73"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</row>
    <row r="359" spans="15:73"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</row>
    <row r="360" spans="15:73"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</row>
    <row r="361" spans="15:73"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</row>
    <row r="362" spans="15:73"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</row>
    <row r="363" spans="15:73"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</row>
    <row r="364" spans="15:73"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</row>
    <row r="365" spans="15:73"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</row>
    <row r="366" spans="15:73"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</row>
    <row r="367" spans="15:73"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</row>
    <row r="368" spans="15:73"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</row>
    <row r="369" spans="15:73"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</row>
    <row r="370" spans="15:73"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</row>
    <row r="371" spans="15:73"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</row>
    <row r="372" spans="15:73"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</row>
    <row r="373" spans="15:73"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</row>
    <row r="374" spans="15:73"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</row>
    <row r="375" spans="15:73"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</row>
    <row r="376" spans="15:73"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</row>
    <row r="377" spans="15:73"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</row>
    <row r="378" spans="15:73"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</row>
    <row r="379" spans="15:73"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</row>
    <row r="380" spans="15:73"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</row>
    <row r="381" spans="15:73"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</row>
    <row r="382" spans="15:73"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</row>
    <row r="383" spans="15:73"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</row>
    <row r="384" spans="15:73"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</row>
    <row r="385" spans="15:73"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</row>
    <row r="386" spans="15:73"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</row>
    <row r="387" spans="15:73"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</row>
    <row r="388" spans="15:73"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</row>
    <row r="389" spans="15:73"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</row>
    <row r="390" spans="15:73"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</row>
    <row r="391" spans="15:73"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</row>
    <row r="392" spans="15:73"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</row>
    <row r="393" spans="15:73"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</row>
    <row r="394" spans="15:73"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</row>
    <row r="395" spans="15:73"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</row>
    <row r="396" spans="15:73"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</row>
    <row r="397" spans="15:73"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</row>
    <row r="398" spans="15:73"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</row>
    <row r="399" spans="15:73"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</row>
    <row r="400" spans="15:73"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</row>
    <row r="401" spans="15:73"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</row>
    <row r="402" spans="15:73"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</row>
    <row r="403" spans="15:73"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</row>
    <row r="404" spans="15:73"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</row>
    <row r="405" spans="15:73"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</row>
    <row r="406" spans="15:73"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</row>
    <row r="407" spans="15:73"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</row>
    <row r="408" spans="15:73"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</row>
    <row r="409" spans="15:73"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</row>
    <row r="410" spans="15:73"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</row>
    <row r="411" spans="15:73"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</row>
    <row r="412" spans="15:73"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</row>
    <row r="413" spans="15:73"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</row>
    <row r="414" spans="15:73"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</row>
    <row r="415" spans="15:73"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</row>
    <row r="416" spans="15:73"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</row>
    <row r="417" spans="15:73"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</row>
    <row r="418" spans="15:73"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</row>
    <row r="419" spans="15:73"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</row>
    <row r="420" spans="15:73"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</row>
    <row r="421" spans="15:73"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</row>
    <row r="422" spans="15:73"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</row>
    <row r="423" spans="15:73"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</row>
    <row r="424" spans="15:73"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</row>
    <row r="425" spans="15:73"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</row>
    <row r="426" spans="15:73"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</row>
    <row r="427" spans="15:73"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</row>
    <row r="428" spans="15:73"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</row>
    <row r="429" spans="15:73"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</row>
    <row r="430" spans="15:73"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</row>
    <row r="431" spans="15:73"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</row>
    <row r="432" spans="15:73"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</row>
    <row r="433" spans="15:73"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</row>
    <row r="434" spans="15:73"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</row>
    <row r="435" spans="15:73"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</row>
    <row r="436" spans="15:73"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</row>
    <row r="437" spans="15:73"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</row>
    <row r="438" spans="15:73"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</row>
    <row r="439" spans="15:73"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</row>
    <row r="440" spans="15:73"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</row>
    <row r="441" spans="15:73"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</row>
    <row r="442" spans="15:73"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</row>
    <row r="443" spans="15:73"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</row>
    <row r="444" spans="15:73"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</row>
    <row r="445" spans="15:73"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</row>
    <row r="446" spans="15:73"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</row>
    <row r="447" spans="15:73"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</row>
    <row r="448" spans="15:73"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</row>
    <row r="449" spans="15:73"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</row>
    <row r="450" spans="15:73"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</row>
    <row r="451" spans="15:73"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</row>
    <row r="452" spans="15:73"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</row>
    <row r="453" spans="15:73"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</row>
    <row r="454" spans="15:73"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</row>
    <row r="455" spans="15:73"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</row>
    <row r="456" spans="15:73"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</row>
    <row r="457" spans="15:73"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</row>
    <row r="458" spans="15:73"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</row>
    <row r="459" spans="15:73"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</row>
    <row r="460" spans="15:73"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</row>
    <row r="461" spans="15:73"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</row>
    <row r="462" spans="15:73"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</row>
    <row r="463" spans="15:73"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</row>
    <row r="464" spans="15:73"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</row>
    <row r="465" spans="15:73"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</row>
    <row r="466" spans="15:73"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</row>
    <row r="467" spans="15:73"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</row>
    <row r="468" spans="15:73"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</row>
    <row r="469" spans="15:73"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</row>
    <row r="470" spans="15:73"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</row>
    <row r="471" spans="15:73"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</row>
    <row r="472" spans="15:73"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</row>
    <row r="473" spans="15:73"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</row>
    <row r="474" spans="15:73"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</row>
    <row r="475" spans="15:73"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</row>
    <row r="476" spans="15:73"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</row>
    <row r="477" spans="15:73"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</row>
    <row r="478" spans="15:73"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</row>
    <row r="479" spans="15:73"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</row>
    <row r="480" spans="15:73"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</row>
    <row r="481" spans="15:73"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</row>
    <row r="482" spans="15:73"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</row>
    <row r="483" spans="15:73"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</row>
    <row r="484" spans="15:73"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</row>
    <row r="485" spans="15:73"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</row>
    <row r="486" spans="15:73"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</row>
    <row r="487" spans="15:73"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</row>
    <row r="488" spans="15:73"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</row>
    <row r="489" spans="15:73"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</row>
    <row r="490" spans="15:73"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</row>
    <row r="491" spans="15:73"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</row>
    <row r="492" spans="15:73"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</row>
    <row r="493" spans="15:73"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</row>
    <row r="494" spans="15:73"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</row>
    <row r="495" spans="15:73"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</row>
    <row r="496" spans="15:73"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</row>
    <row r="497" spans="15:73"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</row>
    <row r="498" spans="15:73"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</row>
    <row r="499" spans="15:73"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</row>
    <row r="500" spans="15:73"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</row>
    <row r="501" spans="15:73"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</row>
    <row r="502" spans="15:73"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</row>
    <row r="503" spans="15:73"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</row>
    <row r="504" spans="15:73"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</row>
    <row r="505" spans="15:73"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</row>
    <row r="506" spans="15:73"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</row>
    <row r="507" spans="15:73"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</row>
    <row r="508" spans="15:73"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</row>
    <row r="509" spans="15:73"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</row>
    <row r="510" spans="15:73"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</row>
    <row r="511" spans="15:73"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</row>
    <row r="512" spans="15:73"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</row>
    <row r="513" spans="15:73"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</row>
    <row r="514" spans="15:73"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</row>
    <row r="515" spans="15:73"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</row>
    <row r="516" spans="15:73"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</row>
    <row r="517" spans="15:73"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</row>
    <row r="518" spans="15:73"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</row>
    <row r="519" spans="15:73"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</row>
    <row r="520" spans="15:73"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</row>
    <row r="521" spans="15:73"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</row>
    <row r="522" spans="15:73"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</row>
    <row r="523" spans="15:73"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</row>
    <row r="524" spans="15:73"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</row>
    <row r="525" spans="15:73"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</row>
    <row r="526" spans="15:73"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</row>
    <row r="527" spans="15:73"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</row>
    <row r="528" spans="15:73"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</row>
    <row r="529" spans="15:73"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</row>
    <row r="530" spans="15:73"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</row>
    <row r="531" spans="15:73"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</row>
    <row r="532" spans="15:73"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</row>
    <row r="533" spans="15:73"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</row>
    <row r="534" spans="15:73"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</row>
    <row r="535" spans="15:73"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</row>
    <row r="536" spans="15:73"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</row>
    <row r="537" spans="15:73"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</row>
    <row r="538" spans="15:73"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</row>
    <row r="539" spans="15:73"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</row>
    <row r="540" spans="15:73"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</row>
    <row r="541" spans="15:73"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</row>
    <row r="542" spans="15:73"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</row>
    <row r="543" spans="15:73"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</row>
  </sheetData>
  <dataConsolidate link="1"/>
  <phoneticPr fontId="9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41"/>
  <sheetViews>
    <sheetView showGridLines="0" zoomScale="80" zoomScaleNormal="80" workbookViewId="0">
      <selection activeCell="N28" sqref="N28"/>
    </sheetView>
  </sheetViews>
  <sheetFormatPr defaultRowHeight="13.2"/>
  <cols>
    <col min="1" max="1" width="14.77734375" customWidth="1"/>
    <col min="2" max="2" width="11.77734375" customWidth="1"/>
    <col min="3" max="3" width="10.77734375" customWidth="1"/>
    <col min="4" max="4" width="7.77734375" customWidth="1"/>
    <col min="5" max="5" width="10.77734375" customWidth="1"/>
    <col min="6" max="6" width="1.77734375" customWidth="1"/>
    <col min="7" max="10" width="10.77734375" customWidth="1"/>
  </cols>
  <sheetData>
    <row r="1" spans="1:10" ht="13.8">
      <c r="A1" s="22" t="s">
        <v>138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3.8">
      <c r="A2" s="23"/>
      <c r="B2" s="175" t="s">
        <v>0</v>
      </c>
      <c r="C2" s="175"/>
      <c r="D2" s="175"/>
      <c r="E2" s="175"/>
      <c r="F2" s="26"/>
      <c r="G2" s="175" t="s">
        <v>17</v>
      </c>
      <c r="H2" s="175"/>
      <c r="I2" s="175"/>
      <c r="J2" s="23"/>
    </row>
    <row r="3" spans="1:10" ht="13.8">
      <c r="A3" s="23" t="s">
        <v>64</v>
      </c>
      <c r="B3" s="25" t="s">
        <v>8</v>
      </c>
      <c r="C3" s="27"/>
      <c r="D3" s="27"/>
      <c r="E3" s="27"/>
      <c r="F3" s="27"/>
      <c r="G3" s="27"/>
      <c r="H3" s="27"/>
      <c r="I3" s="27"/>
      <c r="J3" s="25" t="s">
        <v>26</v>
      </c>
    </row>
    <row r="4" spans="1:10" ht="13.8">
      <c r="A4" s="28" t="s">
        <v>65</v>
      </c>
      <c r="B4" s="30" t="s">
        <v>25</v>
      </c>
      <c r="C4" s="30" t="s">
        <v>1</v>
      </c>
      <c r="D4" s="30" t="s">
        <v>2</v>
      </c>
      <c r="E4" s="32" t="s">
        <v>24</v>
      </c>
      <c r="F4" s="31"/>
      <c r="G4" s="30" t="s">
        <v>27</v>
      </c>
      <c r="H4" s="30" t="s">
        <v>23</v>
      </c>
      <c r="I4" s="30" t="s">
        <v>24</v>
      </c>
      <c r="J4" s="30" t="s">
        <v>74</v>
      </c>
    </row>
    <row r="5" spans="1:10" ht="14.4">
      <c r="A5" s="23"/>
      <c r="B5" s="176" t="s">
        <v>80</v>
      </c>
      <c r="C5" s="176"/>
      <c r="D5" s="176"/>
      <c r="E5" s="176"/>
      <c r="F5" s="176"/>
      <c r="G5" s="176"/>
      <c r="H5" s="176"/>
      <c r="I5" s="176"/>
      <c r="J5" s="176"/>
    </row>
    <row r="6" spans="1:10" ht="13.8">
      <c r="A6" s="23" t="s">
        <v>119</v>
      </c>
      <c r="B6" s="54">
        <v>402.01499999999999</v>
      </c>
      <c r="C6" s="55">
        <v>51100.43</v>
      </c>
      <c r="D6" s="55">
        <v>639.279164260926</v>
      </c>
      <c r="E6" s="37">
        <v>52141.724164260922</v>
      </c>
      <c r="F6" s="55"/>
      <c r="G6" s="55">
        <v>37723.484000376411</v>
      </c>
      <c r="H6" s="55">
        <v>14076.904163884506</v>
      </c>
      <c r="I6" s="55">
        <v>51800.388164260919</v>
      </c>
      <c r="J6" s="55">
        <v>341.33600000000001</v>
      </c>
    </row>
    <row r="7" spans="1:10" ht="16.2">
      <c r="A7" s="23" t="s">
        <v>122</v>
      </c>
      <c r="B7" s="54">
        <f>J6</f>
        <v>341.33600000000001</v>
      </c>
      <c r="C7" s="55">
        <v>51358.66</v>
      </c>
      <c r="D7" s="55">
        <v>800</v>
      </c>
      <c r="E7" s="37">
        <f>SUM(B7:D7)</f>
        <v>52499.996000000006</v>
      </c>
      <c r="F7" s="55"/>
      <c r="G7" s="55">
        <f>I7-H7</f>
        <v>37799.996000000006</v>
      </c>
      <c r="H7" s="55">
        <v>14250</v>
      </c>
      <c r="I7" s="55">
        <f>E7-J7</f>
        <v>52049.996000000006</v>
      </c>
      <c r="J7" s="55">
        <v>450</v>
      </c>
    </row>
    <row r="8" spans="1:10" ht="16.2">
      <c r="A8" s="23" t="s">
        <v>153</v>
      </c>
      <c r="B8" s="54">
        <f>J7</f>
        <v>450</v>
      </c>
      <c r="C8" s="55">
        <v>52500</v>
      </c>
      <c r="D8" s="55">
        <v>450</v>
      </c>
      <c r="E8" s="37">
        <f>SUM(B8:D8)</f>
        <v>53400</v>
      </c>
      <c r="F8" s="55"/>
      <c r="G8" s="55">
        <f>I8-H8</f>
        <v>38600</v>
      </c>
      <c r="H8" s="55">
        <v>14300</v>
      </c>
      <c r="I8" s="55">
        <f>E8-J8</f>
        <v>52900</v>
      </c>
      <c r="J8" s="55">
        <v>500</v>
      </c>
    </row>
    <row r="9" spans="1:10" ht="13.8">
      <c r="A9" s="23"/>
      <c r="B9" s="56"/>
      <c r="C9" s="56"/>
      <c r="D9" s="56"/>
      <c r="E9" s="56"/>
      <c r="F9" s="56"/>
      <c r="G9" s="55"/>
      <c r="H9" s="56"/>
      <c r="I9" s="56"/>
      <c r="J9" s="56"/>
    </row>
    <row r="10" spans="1:10" ht="13.8">
      <c r="A10" s="136" t="s">
        <v>119</v>
      </c>
      <c r="B10" s="58"/>
      <c r="C10" s="44"/>
      <c r="D10" s="44"/>
      <c r="E10" s="44"/>
      <c r="F10" s="44"/>
      <c r="G10" s="44"/>
      <c r="H10" s="44"/>
      <c r="I10" s="44"/>
      <c r="J10" s="44"/>
    </row>
    <row r="11" spans="1:10" ht="13.8">
      <c r="A11" s="26" t="s">
        <v>45</v>
      </c>
      <c r="B11" s="58">
        <f>360.387+41.628</f>
        <v>402.01499999999999</v>
      </c>
      <c r="C11" s="147">
        <v>4381.8320000000003</v>
      </c>
      <c r="D11" s="147">
        <v>53.308531577700002</v>
      </c>
      <c r="E11" s="44">
        <f>SUM(B11:D11)</f>
        <v>4837.1555315777005</v>
      </c>
      <c r="F11" s="57"/>
      <c r="G11" s="59">
        <f t="shared" ref="G11:G22" si="0">I11-H11</f>
        <v>3341.4630222600999</v>
      </c>
      <c r="H11" s="149">
        <v>1130.3335093175999</v>
      </c>
      <c r="I11" s="57">
        <f t="shared" ref="I11:I22" si="1">E11-J11</f>
        <v>4471.7965315777001</v>
      </c>
      <c r="J11" s="149">
        <v>365.35899999999998</v>
      </c>
    </row>
    <row r="12" spans="1:10" ht="13.8">
      <c r="A12" s="26" t="s">
        <v>46</v>
      </c>
      <c r="B12" s="58">
        <f t="shared" ref="B12:B22" si="2">J11</f>
        <v>365.35899999999998</v>
      </c>
      <c r="C12" s="147">
        <v>4111.7719999999999</v>
      </c>
      <c r="D12" s="147">
        <v>38.341242588599997</v>
      </c>
      <c r="E12" s="44">
        <f t="shared" ref="E12:E18" si="3">SUM(B12:D12)</f>
        <v>4515.4722425886002</v>
      </c>
      <c r="F12" s="44"/>
      <c r="G12" s="59">
        <f t="shared" si="0"/>
        <v>2809.9959973922005</v>
      </c>
      <c r="H12" s="149">
        <v>1238.0632451964</v>
      </c>
      <c r="I12" s="57">
        <f t="shared" si="1"/>
        <v>4048.0592425886002</v>
      </c>
      <c r="J12" s="149">
        <v>467.41300000000001</v>
      </c>
    </row>
    <row r="13" spans="1:10" ht="13.8">
      <c r="A13" s="26" t="s">
        <v>47</v>
      </c>
      <c r="B13" s="58">
        <f t="shared" si="2"/>
        <v>467.41300000000001</v>
      </c>
      <c r="C13" s="147">
        <v>4337.5720000000001</v>
      </c>
      <c r="D13" s="147">
        <v>59.494480447500003</v>
      </c>
      <c r="E13" s="44">
        <f t="shared" si="3"/>
        <v>4864.4794804475005</v>
      </c>
      <c r="F13" s="44"/>
      <c r="G13" s="59">
        <f t="shared" si="0"/>
        <v>3401.5878246252005</v>
      </c>
      <c r="H13" s="149">
        <v>1085.8196558223001</v>
      </c>
      <c r="I13" s="57">
        <f t="shared" si="1"/>
        <v>4487.4074804475003</v>
      </c>
      <c r="J13" s="149">
        <v>377.072</v>
      </c>
    </row>
    <row r="14" spans="1:10" ht="13.8">
      <c r="A14" s="26" t="s">
        <v>48</v>
      </c>
      <c r="B14" s="58">
        <f t="shared" si="2"/>
        <v>377.072</v>
      </c>
      <c r="C14" s="147">
        <v>4425.7489999999998</v>
      </c>
      <c r="D14" s="147">
        <v>61.006299984000002</v>
      </c>
      <c r="E14" s="44">
        <f t="shared" si="3"/>
        <v>4863.8272999840001</v>
      </c>
      <c r="F14" s="44"/>
      <c r="G14" s="59">
        <f t="shared" si="0"/>
        <v>3443.2350855731002</v>
      </c>
      <c r="H14" s="149">
        <v>1075.6592144109002</v>
      </c>
      <c r="I14" s="57">
        <f t="shared" si="1"/>
        <v>4518.8942999840001</v>
      </c>
      <c r="J14" s="149">
        <v>344.93299999999999</v>
      </c>
    </row>
    <row r="15" spans="1:10" ht="13.8">
      <c r="A15" s="26" t="s">
        <v>49</v>
      </c>
      <c r="B15" s="58">
        <f t="shared" si="2"/>
        <v>344.93299999999999</v>
      </c>
      <c r="C15" s="147">
        <v>4122.6279999999997</v>
      </c>
      <c r="D15" s="147">
        <v>50.316859523699996</v>
      </c>
      <c r="E15" s="44">
        <f t="shared" si="3"/>
        <v>4517.8778595237</v>
      </c>
      <c r="F15" s="44"/>
      <c r="G15" s="59">
        <f t="shared" si="0"/>
        <v>2732.7432112388001</v>
      </c>
      <c r="H15" s="149">
        <v>1342.7866482848999</v>
      </c>
      <c r="I15" s="57">
        <f t="shared" si="1"/>
        <v>4075.5298595237</v>
      </c>
      <c r="J15" s="149">
        <v>442.34800000000001</v>
      </c>
    </row>
    <row r="16" spans="1:10" ht="13.8">
      <c r="A16" s="26" t="s">
        <v>50</v>
      </c>
      <c r="B16" s="58">
        <f t="shared" si="2"/>
        <v>442.34800000000001</v>
      </c>
      <c r="C16" s="147">
        <v>4517.9129999999996</v>
      </c>
      <c r="D16" s="147">
        <v>63.604998166500003</v>
      </c>
      <c r="E16" s="44">
        <f t="shared" si="3"/>
        <v>5023.8659981664996</v>
      </c>
      <c r="F16" s="44"/>
      <c r="G16" s="59">
        <f t="shared" si="0"/>
        <v>3241.9718611510998</v>
      </c>
      <c r="H16" s="149">
        <v>1366.8451370154</v>
      </c>
      <c r="I16" s="57">
        <f t="shared" si="1"/>
        <v>4608.8169981664996</v>
      </c>
      <c r="J16" s="149">
        <v>415.04899999999998</v>
      </c>
    </row>
    <row r="17" spans="1:10" ht="13.8">
      <c r="A17" s="26" t="s">
        <v>51</v>
      </c>
      <c r="B17" s="58">
        <f t="shared" si="2"/>
        <v>415.04899999999998</v>
      </c>
      <c r="C17" s="147">
        <v>4312.1769999999997</v>
      </c>
      <c r="D17" s="147">
        <v>53.258596889400003</v>
      </c>
      <c r="E17" s="44">
        <f t="shared" si="3"/>
        <v>4780.4845968893997</v>
      </c>
      <c r="F17" s="44"/>
      <c r="G17" s="59">
        <f t="shared" si="0"/>
        <v>3183.0069030470995</v>
      </c>
      <c r="H17" s="149">
        <v>1211.2846938422999</v>
      </c>
      <c r="I17" s="57">
        <f t="shared" si="1"/>
        <v>4394.2915968893994</v>
      </c>
      <c r="J17" s="149">
        <v>386.19299999999998</v>
      </c>
    </row>
    <row r="18" spans="1:10" ht="13.8">
      <c r="A18" s="26" t="s">
        <v>52</v>
      </c>
      <c r="B18" s="58">
        <f t="shared" si="2"/>
        <v>386.19299999999998</v>
      </c>
      <c r="C18" s="147">
        <v>4240.9799999999996</v>
      </c>
      <c r="D18" s="147">
        <v>45.268826299200001</v>
      </c>
      <c r="E18" s="44">
        <f t="shared" si="3"/>
        <v>4672.4418262991994</v>
      </c>
      <c r="F18" s="44"/>
      <c r="G18" s="59">
        <f t="shared" si="0"/>
        <v>3091.2508507517996</v>
      </c>
      <c r="H18" s="149">
        <v>1083.3439755474001</v>
      </c>
      <c r="I18" s="57">
        <f t="shared" si="1"/>
        <v>4174.5948262991997</v>
      </c>
      <c r="J18" s="149">
        <v>497.84699999999998</v>
      </c>
    </row>
    <row r="19" spans="1:10" ht="13.8">
      <c r="A19" s="26" t="s">
        <v>53</v>
      </c>
      <c r="B19" s="58">
        <f t="shared" si="2"/>
        <v>497.84699999999998</v>
      </c>
      <c r="C19" s="147">
        <v>4167.4759999999997</v>
      </c>
      <c r="D19" s="147">
        <v>40.058532895500001</v>
      </c>
      <c r="E19" s="44">
        <f>SUM(B19:D19)</f>
        <v>4705.3815328954997</v>
      </c>
      <c r="F19" s="44"/>
      <c r="G19" s="59">
        <f t="shared" si="0"/>
        <v>3149.2983177244996</v>
      </c>
      <c r="H19" s="149">
        <v>1093.780215171</v>
      </c>
      <c r="I19" s="57">
        <f t="shared" si="1"/>
        <v>4243.0785328954998</v>
      </c>
      <c r="J19" s="149">
        <v>462.303</v>
      </c>
    </row>
    <row r="20" spans="1:10" ht="13.8">
      <c r="A20" s="26" t="s">
        <v>55</v>
      </c>
      <c r="B20" s="58">
        <f t="shared" si="2"/>
        <v>462.303</v>
      </c>
      <c r="C20" s="147">
        <v>4361.17</v>
      </c>
      <c r="D20" s="147">
        <v>57.713697027000002</v>
      </c>
      <c r="E20" s="44">
        <f>SUM(B20:D20)</f>
        <v>4881.1866970270003</v>
      </c>
      <c r="F20" s="44"/>
      <c r="G20" s="59">
        <f t="shared" si="0"/>
        <v>3328.9370558483997</v>
      </c>
      <c r="H20" s="149">
        <v>1101.7296411786001</v>
      </c>
      <c r="I20" s="57">
        <f t="shared" si="1"/>
        <v>4430.6666970269998</v>
      </c>
      <c r="J20" s="149">
        <v>450.52</v>
      </c>
    </row>
    <row r="21" spans="1:10" ht="13.8">
      <c r="A21" s="26" t="s">
        <v>56</v>
      </c>
      <c r="B21" s="58">
        <f t="shared" si="2"/>
        <v>450.52</v>
      </c>
      <c r="C21" s="147">
        <v>4111.7449999999999</v>
      </c>
      <c r="D21" s="147">
        <v>60.527676547800006</v>
      </c>
      <c r="E21" s="44">
        <f>SUM(B21:D21)</f>
        <v>4622.7926765477996</v>
      </c>
      <c r="F21" s="44"/>
      <c r="G21" s="59">
        <f t="shared" si="0"/>
        <v>3084.1036698481003</v>
      </c>
      <c r="H21" s="149">
        <v>1117.5920066996998</v>
      </c>
      <c r="I21" s="57">
        <f t="shared" si="1"/>
        <v>4201.6956765477998</v>
      </c>
      <c r="J21" s="149">
        <v>421.09699999999998</v>
      </c>
    </row>
    <row r="22" spans="1:10" ht="13.8">
      <c r="A22" s="26" t="s">
        <v>58</v>
      </c>
      <c r="B22" s="58">
        <f t="shared" si="2"/>
        <v>421.09699999999998</v>
      </c>
      <c r="C22" s="147">
        <v>4009.4160000000002</v>
      </c>
      <c r="D22" s="147">
        <v>71.118019249200003</v>
      </c>
      <c r="E22" s="44">
        <f>SUM(B22:D22)</f>
        <v>4501.6310192492001</v>
      </c>
      <c r="F22" s="44"/>
      <c r="G22" s="59">
        <f t="shared" si="0"/>
        <v>3173.8361337315</v>
      </c>
      <c r="H22" s="149">
        <v>986.45888551769997</v>
      </c>
      <c r="I22" s="57">
        <f t="shared" si="1"/>
        <v>4160.2950192491999</v>
      </c>
      <c r="J22" s="149">
        <v>341.33600000000001</v>
      </c>
    </row>
    <row r="23" spans="1:10" ht="13.8">
      <c r="A23" s="26" t="s">
        <v>3</v>
      </c>
      <c r="B23" s="58"/>
      <c r="C23" s="44">
        <f>SUM(C11:C22)</f>
        <v>51100.43</v>
      </c>
      <c r="D23" s="44">
        <f>SUM(D11:D22)</f>
        <v>654.01776119609985</v>
      </c>
      <c r="E23" s="44">
        <f>B11+C23+D23</f>
        <v>52156.462761196097</v>
      </c>
      <c r="F23" s="44"/>
      <c r="G23" s="59">
        <f>SUM(G11:G22)</f>
        <v>37981.429933191903</v>
      </c>
      <c r="H23" s="59">
        <f>SUM(H11:H22)</f>
        <v>13833.696828004198</v>
      </c>
      <c r="I23" s="57">
        <f>SUM(I11:I22)</f>
        <v>51815.126761196108</v>
      </c>
      <c r="J23" s="44"/>
    </row>
    <row r="24" spans="1:10" ht="13.8">
      <c r="A24" s="26"/>
      <c r="B24" s="58"/>
      <c r="C24" s="44"/>
      <c r="D24" s="44"/>
      <c r="E24" s="44"/>
      <c r="F24" s="44"/>
      <c r="G24" s="44"/>
      <c r="H24" s="44"/>
      <c r="I24" s="44"/>
      <c r="J24" s="44"/>
    </row>
    <row r="25" spans="1:10" ht="13.8">
      <c r="A25" s="136" t="s">
        <v>127</v>
      </c>
      <c r="B25" s="58"/>
      <c r="C25" s="44"/>
      <c r="D25" s="44"/>
      <c r="E25" s="44"/>
      <c r="F25" s="44"/>
      <c r="G25" s="44"/>
      <c r="H25" s="44"/>
      <c r="I25" s="44"/>
      <c r="J25" s="44"/>
    </row>
    <row r="26" spans="1:10" ht="13.8">
      <c r="A26" s="26" t="s">
        <v>45</v>
      </c>
      <c r="B26" s="58">
        <f>J22</f>
        <v>341.33600000000001</v>
      </c>
      <c r="C26" s="147">
        <v>4615.5919999999996</v>
      </c>
      <c r="D26" s="147">
        <v>69.644560135500001</v>
      </c>
      <c r="E26" s="44">
        <f t="shared" ref="E26:E32" si="4">SUM(B26:D26)</f>
        <v>5026.5725601354998</v>
      </c>
      <c r="F26" s="57"/>
      <c r="G26" s="59">
        <f t="shared" ref="G26:G32" si="5">I26-H26</f>
        <v>3543.9293017315003</v>
      </c>
      <c r="H26" s="149">
        <v>1108.444258404</v>
      </c>
      <c r="I26" s="57">
        <f t="shared" ref="I26:I32" si="6">E26-J26</f>
        <v>4652.3735601355002</v>
      </c>
      <c r="J26" s="149">
        <v>374.19900000000001</v>
      </c>
    </row>
    <row r="27" spans="1:10" ht="13.8">
      <c r="A27" s="26" t="s">
        <v>46</v>
      </c>
      <c r="B27" s="58">
        <f t="shared" ref="B27:B32" si="7">J26</f>
        <v>374.19900000000001</v>
      </c>
      <c r="C27" s="147">
        <v>4516.2939999999999</v>
      </c>
      <c r="D27" s="147">
        <v>67.467606141600001</v>
      </c>
      <c r="E27" s="44">
        <f t="shared" si="4"/>
        <v>4957.9606061415998</v>
      </c>
      <c r="F27" s="57"/>
      <c r="G27" s="59">
        <f t="shared" si="5"/>
        <v>3223.2093355672996</v>
      </c>
      <c r="H27" s="149">
        <v>1276.3342705743</v>
      </c>
      <c r="I27" s="57">
        <f t="shared" si="6"/>
        <v>4499.5436061415994</v>
      </c>
      <c r="J27" s="149">
        <v>458.41699999999997</v>
      </c>
    </row>
    <row r="28" spans="1:10" ht="13.8">
      <c r="A28" s="26" t="s">
        <v>47</v>
      </c>
      <c r="B28" s="58">
        <f t="shared" si="7"/>
        <v>458.41699999999997</v>
      </c>
      <c r="C28" s="147">
        <v>4540.9309999999996</v>
      </c>
      <c r="D28" s="147">
        <v>64.668618050400013</v>
      </c>
      <c r="E28" s="44">
        <f t="shared" si="4"/>
        <v>5064.0166180504002</v>
      </c>
      <c r="F28" s="57"/>
      <c r="G28" s="59">
        <f t="shared" si="5"/>
        <v>3257.6748634382002</v>
      </c>
      <c r="H28" s="149">
        <v>1446.9487546122</v>
      </c>
      <c r="I28" s="57">
        <f t="shared" si="6"/>
        <v>4704.6236180504002</v>
      </c>
      <c r="J28" s="149">
        <v>359.39299999999997</v>
      </c>
    </row>
    <row r="29" spans="1:10" ht="13.8">
      <c r="A29" s="26" t="s">
        <v>48</v>
      </c>
      <c r="B29" s="58">
        <f t="shared" si="7"/>
        <v>359.39299999999997</v>
      </c>
      <c r="C29" s="152">
        <v>4665.6540000000005</v>
      </c>
      <c r="D29" s="152">
        <v>68.348573092800009</v>
      </c>
      <c r="E29" s="125">
        <f t="shared" si="4"/>
        <v>5093.3955730928001</v>
      </c>
      <c r="F29" s="124"/>
      <c r="G29" s="126">
        <f t="shared" si="5"/>
        <v>3080.2823076226996</v>
      </c>
      <c r="H29" s="151">
        <v>1457.3092654701002</v>
      </c>
      <c r="I29" s="124">
        <f t="shared" si="6"/>
        <v>4537.5915730928</v>
      </c>
      <c r="J29" s="151">
        <v>555.80399999999997</v>
      </c>
    </row>
    <row r="30" spans="1:10" ht="13.8">
      <c r="A30" s="26" t="s">
        <v>49</v>
      </c>
      <c r="B30" s="58">
        <f t="shared" si="7"/>
        <v>555.80399999999997</v>
      </c>
      <c r="C30" s="152">
        <v>3918.6709999999998</v>
      </c>
      <c r="D30" s="152">
        <v>67.055121365399998</v>
      </c>
      <c r="E30" s="125">
        <f t="shared" si="4"/>
        <v>4541.5301213653993</v>
      </c>
      <c r="F30" s="124"/>
      <c r="G30" s="126">
        <f t="shared" si="5"/>
        <v>2640.818691974699</v>
      </c>
      <c r="H30" s="151">
        <v>1316.6484293907001</v>
      </c>
      <c r="I30" s="124">
        <f t="shared" si="6"/>
        <v>3957.4671213653992</v>
      </c>
      <c r="J30" s="151">
        <v>584.06299999999999</v>
      </c>
    </row>
    <row r="31" spans="1:10" ht="13.8">
      <c r="A31" s="26" t="s">
        <v>50</v>
      </c>
      <c r="B31" s="58">
        <f t="shared" si="7"/>
        <v>584.06299999999999</v>
      </c>
      <c r="C31" s="153">
        <v>4476.5870000000004</v>
      </c>
      <c r="D31" s="153">
        <v>73.247022714600007</v>
      </c>
      <c r="E31" s="129">
        <f t="shared" si="4"/>
        <v>5133.8970227146001</v>
      </c>
      <c r="F31" s="134"/>
      <c r="G31" s="128">
        <f t="shared" si="5"/>
        <v>3387.3780467138004</v>
      </c>
      <c r="H31" s="151">
        <v>1298.7789760008</v>
      </c>
      <c r="I31" s="124">
        <f t="shared" si="6"/>
        <v>4686.1570227146003</v>
      </c>
      <c r="J31" s="151">
        <v>447.74</v>
      </c>
    </row>
    <row r="32" spans="1:10" ht="13.8">
      <c r="A32" s="26" t="s">
        <v>51</v>
      </c>
      <c r="B32" s="58">
        <f t="shared" si="7"/>
        <v>447.74</v>
      </c>
      <c r="C32" s="153">
        <f>270.766+3773.943</f>
        <v>4044.7090000000003</v>
      </c>
      <c r="D32" s="129">
        <v>68.056129984500004</v>
      </c>
      <c r="E32" s="129">
        <f t="shared" si="4"/>
        <v>4560.5051299845009</v>
      </c>
      <c r="F32" s="134"/>
      <c r="G32" s="128">
        <f t="shared" si="5"/>
        <v>3050.7239194687004</v>
      </c>
      <c r="H32" s="128">
        <v>1057.7752105158002</v>
      </c>
      <c r="I32" s="124">
        <f t="shared" si="6"/>
        <v>4108.4991299845005</v>
      </c>
      <c r="J32" s="151">
        <f>417.603+34.403</f>
        <v>452.00600000000003</v>
      </c>
    </row>
    <row r="33" spans="1:10" ht="13.8">
      <c r="A33" s="26" t="s">
        <v>52</v>
      </c>
      <c r="B33" s="58">
        <f t="shared" ref="B33" si="8">J32</f>
        <v>452.00600000000003</v>
      </c>
      <c r="C33" s="153">
        <f>3849.675+273.209</f>
        <v>4122.884</v>
      </c>
      <c r="D33" s="153">
        <v>65.505382330499998</v>
      </c>
      <c r="E33" s="153">
        <f>SUM(B33:D33)</f>
        <v>4640.3953823305001</v>
      </c>
      <c r="F33" s="134"/>
      <c r="G33" s="128">
        <f t="shared" ref="G33" si="9">I33-H33</f>
        <v>2948.6918694738997</v>
      </c>
      <c r="H33" s="128">
        <v>1050.2495128566002</v>
      </c>
      <c r="I33" s="151">
        <f>E33-J33</f>
        <v>3998.9413823304999</v>
      </c>
      <c r="J33" s="151">
        <f>48.594+592.86</f>
        <v>641.45400000000006</v>
      </c>
    </row>
    <row r="34" spans="1:10" ht="13.8">
      <c r="A34" s="22" t="s">
        <v>128</v>
      </c>
      <c r="B34" s="60"/>
      <c r="C34" s="49">
        <f>SUM(C26:C33)</f>
        <v>34901.321999999993</v>
      </c>
      <c r="D34" s="49">
        <f>SUM(D26:D33)</f>
        <v>543.99301381530006</v>
      </c>
      <c r="E34" s="49">
        <f>B26+C34+D34</f>
        <v>35786.651013815295</v>
      </c>
      <c r="F34" s="49"/>
      <c r="G34" s="49">
        <f>SUM(G26:G33)</f>
        <v>25132.708335990799</v>
      </c>
      <c r="H34" s="49">
        <f>SUM(H26:H33)</f>
        <v>10012.4886778245</v>
      </c>
      <c r="I34" s="49">
        <f>SUM(I26:I33)</f>
        <v>35145.197013815305</v>
      </c>
      <c r="J34" s="49"/>
    </row>
    <row r="35" spans="1:10" ht="16.2">
      <c r="A35" s="61" t="s">
        <v>121</v>
      </c>
      <c r="B35" s="23"/>
      <c r="C35" s="23"/>
      <c r="D35" s="23"/>
      <c r="E35" s="23"/>
      <c r="F35" s="23"/>
      <c r="G35" s="23"/>
      <c r="H35" s="23"/>
      <c r="I35" s="23"/>
      <c r="J35" s="23"/>
    </row>
    <row r="36" spans="1:10" ht="14.4">
      <c r="A36" s="23" t="s">
        <v>95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13.8">
      <c r="A37" s="27" t="s">
        <v>18</v>
      </c>
      <c r="B37" s="53">
        <f ca="1">NOW()</f>
        <v>44391.598262037034</v>
      </c>
      <c r="C37" s="43"/>
      <c r="D37" s="39"/>
      <c r="E37" s="39"/>
      <c r="F37" s="39"/>
      <c r="G37" s="39"/>
      <c r="H37" s="39"/>
      <c r="I37" s="39"/>
      <c r="J37" s="39"/>
    </row>
    <row r="38" spans="1:10">
      <c r="A38" s="1"/>
      <c r="B38" s="2"/>
      <c r="C38" s="3"/>
      <c r="D38" s="2"/>
      <c r="E38" s="2"/>
      <c r="F38" s="2"/>
      <c r="G38" s="2"/>
      <c r="H38" s="4"/>
      <c r="I38" s="2"/>
      <c r="J38" s="2"/>
    </row>
    <row r="39" spans="1:10">
      <c r="A39" s="1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3">
    <mergeCell ref="G2:I2"/>
    <mergeCell ref="B5:J5"/>
    <mergeCell ref="B2:E2"/>
  </mergeCells>
  <phoneticPr fontId="9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7"/>
  <sheetViews>
    <sheetView showGridLines="0" topLeftCell="A8" zoomScaleNormal="100" workbookViewId="0">
      <selection activeCell="S14" sqref="S14"/>
    </sheetView>
  </sheetViews>
  <sheetFormatPr defaultRowHeight="13.2"/>
  <cols>
    <col min="1" max="1" width="14.5546875" customWidth="1"/>
    <col min="2" max="2" width="11.77734375" customWidth="1"/>
    <col min="3" max="3" width="10.77734375" customWidth="1"/>
    <col min="4" max="4" width="9.5546875" bestFit="1" customWidth="1"/>
    <col min="5" max="5" width="11.21875" bestFit="1" customWidth="1"/>
    <col min="6" max="6" width="3.77734375" customWidth="1"/>
    <col min="7" max="7" width="10.77734375" bestFit="1" customWidth="1"/>
    <col min="8" max="8" width="10.77734375" customWidth="1"/>
    <col min="9" max="9" width="12.77734375" customWidth="1"/>
    <col min="10" max="10" width="9.77734375" customWidth="1"/>
    <col min="11" max="11" width="10.77734375" customWidth="1"/>
    <col min="12" max="12" width="10.21875" bestFit="1" customWidth="1"/>
  </cols>
  <sheetData>
    <row r="1" spans="1:13" ht="13.8">
      <c r="A1" s="22" t="s">
        <v>139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ht="13.8">
      <c r="A2" s="23"/>
      <c r="B2" s="175" t="s">
        <v>0</v>
      </c>
      <c r="C2" s="175"/>
      <c r="D2" s="175"/>
      <c r="E2" s="175"/>
      <c r="F2" s="26"/>
      <c r="G2" s="175" t="s">
        <v>17</v>
      </c>
      <c r="H2" s="175"/>
      <c r="I2" s="175"/>
      <c r="J2" s="24"/>
      <c r="K2" s="24"/>
      <c r="L2" s="23"/>
    </row>
    <row r="3" spans="1:13" ht="13.8">
      <c r="A3" s="23" t="s">
        <v>64</v>
      </c>
      <c r="B3" s="25" t="s">
        <v>28</v>
      </c>
      <c r="C3" s="62" t="s">
        <v>1</v>
      </c>
      <c r="D3" s="62" t="s">
        <v>29</v>
      </c>
      <c r="E3" s="62" t="s">
        <v>24</v>
      </c>
      <c r="F3" s="62"/>
      <c r="G3" s="24" t="s">
        <v>27</v>
      </c>
      <c r="H3" s="24"/>
      <c r="I3" s="24"/>
      <c r="J3" s="62" t="s">
        <v>31</v>
      </c>
      <c r="K3" s="62" t="s">
        <v>24</v>
      </c>
      <c r="L3" s="62" t="s">
        <v>26</v>
      </c>
    </row>
    <row r="4" spans="1:13" ht="16.2">
      <c r="A4" s="28" t="s">
        <v>65</v>
      </c>
      <c r="B4" s="30" t="s">
        <v>25</v>
      </c>
      <c r="C4" s="31"/>
      <c r="D4" s="31"/>
      <c r="E4" s="31"/>
      <c r="F4" s="31"/>
      <c r="G4" s="30" t="s">
        <v>3</v>
      </c>
      <c r="H4" s="30" t="s">
        <v>159</v>
      </c>
      <c r="I4" s="30" t="s">
        <v>91</v>
      </c>
      <c r="J4" s="31"/>
      <c r="K4" s="31"/>
      <c r="L4" s="62" t="s">
        <v>74</v>
      </c>
    </row>
    <row r="5" spans="1:13" ht="14.4">
      <c r="A5" s="23"/>
      <c r="B5" s="177" t="s">
        <v>82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3" ht="13.8">
      <c r="A6" s="23" t="s">
        <v>119</v>
      </c>
      <c r="B6" s="56">
        <v>1775.316</v>
      </c>
      <c r="C6" s="56">
        <f>C23</f>
        <v>24911.099999999995</v>
      </c>
      <c r="D6" s="56">
        <f>D23</f>
        <v>320.33371108200004</v>
      </c>
      <c r="E6" s="56">
        <f>E23</f>
        <v>27006.749711081993</v>
      </c>
      <c r="F6" s="56"/>
      <c r="G6" s="148">
        <f>G23</f>
        <v>22317.387070614001</v>
      </c>
      <c r="H6" s="37">
        <v>8658</v>
      </c>
      <c r="I6" s="37">
        <v>13659.6</v>
      </c>
      <c r="J6" s="56">
        <f>J23</f>
        <v>2836.6876404680006</v>
      </c>
      <c r="K6" s="56">
        <v>25153.728087946503</v>
      </c>
      <c r="L6" s="56">
        <v>1852.5300000000389</v>
      </c>
      <c r="M6" s="15"/>
    </row>
    <row r="7" spans="1:13" ht="16.2">
      <c r="A7" s="23" t="s">
        <v>122</v>
      </c>
      <c r="B7" s="56">
        <v>1853</v>
      </c>
      <c r="C7" s="56">
        <v>25390</v>
      </c>
      <c r="D7" s="56">
        <v>250</v>
      </c>
      <c r="E7" s="56">
        <f>SUM(B7:D7)</f>
        <v>27493</v>
      </c>
      <c r="F7" s="56"/>
      <c r="G7" s="56">
        <f>K7-J7</f>
        <v>23925.325000000001</v>
      </c>
      <c r="H7" s="37">
        <v>9300</v>
      </c>
      <c r="I7" s="37">
        <f>G7-H7</f>
        <v>14625.325000000001</v>
      </c>
      <c r="J7" s="56">
        <v>1775</v>
      </c>
      <c r="K7" s="56">
        <f>E7-L7</f>
        <v>25700.325000000001</v>
      </c>
      <c r="L7" s="56">
        <v>1792.675</v>
      </c>
      <c r="M7" s="15"/>
    </row>
    <row r="8" spans="1:13" ht="16.2">
      <c r="A8" s="23" t="s">
        <v>153</v>
      </c>
      <c r="B8" s="56">
        <v>1792.675</v>
      </c>
      <c r="C8" s="56">
        <v>25945</v>
      </c>
      <c r="D8" s="56">
        <v>600</v>
      </c>
      <c r="E8" s="56">
        <f>SUM(B8:D8)</f>
        <v>28337.674999999999</v>
      </c>
      <c r="F8" s="56"/>
      <c r="G8" s="56">
        <f>K8-J8</f>
        <v>25400</v>
      </c>
      <c r="H8" s="37">
        <v>12000</v>
      </c>
      <c r="I8" s="37">
        <f>G8-H8</f>
        <v>13400</v>
      </c>
      <c r="J8" s="56">
        <v>1450</v>
      </c>
      <c r="K8" s="56">
        <f>E8-L8</f>
        <v>26850</v>
      </c>
      <c r="L8" s="56">
        <v>1487.675</v>
      </c>
      <c r="M8" s="15"/>
    </row>
    <row r="9" spans="1:13" ht="13.8">
      <c r="A9" s="23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15"/>
    </row>
    <row r="10" spans="1:13" ht="13.8">
      <c r="A10" s="135" t="s">
        <v>119</v>
      </c>
      <c r="B10" s="114"/>
      <c r="C10" s="44"/>
      <c r="D10" s="44"/>
      <c r="E10" s="44"/>
      <c r="F10" s="57"/>
      <c r="G10" s="44"/>
      <c r="H10" s="44"/>
      <c r="I10" s="44"/>
      <c r="J10" s="44"/>
      <c r="K10" s="44"/>
      <c r="L10" s="57"/>
    </row>
    <row r="11" spans="1:13" ht="13.8">
      <c r="A11" s="26" t="s">
        <v>45</v>
      </c>
      <c r="B11" s="57">
        <f>1400.569+374.747</f>
        <v>1775.316</v>
      </c>
      <c r="C11" s="147">
        <v>2150</v>
      </c>
      <c r="D11" s="149">
        <v>30.490776447999998</v>
      </c>
      <c r="E11" s="44">
        <f t="shared" ref="E11:E18" si="0">SUM(B11:D11)</f>
        <v>3955.8067764479997</v>
      </c>
      <c r="F11" s="57"/>
      <c r="G11" s="57">
        <f t="shared" ref="G11:G22" si="1">K11-J11</f>
        <v>1882.1235937619997</v>
      </c>
      <c r="H11" s="147">
        <v>624.20000000000005</v>
      </c>
      <c r="I11" s="44">
        <f t="shared" ref="I11:I22" si="2">G11-H11</f>
        <v>1257.9235937619997</v>
      </c>
      <c r="J11" s="147">
        <v>252.68318268599998</v>
      </c>
      <c r="K11" s="44">
        <f t="shared" ref="K11:K22" si="3">E11-L11</f>
        <v>2134.8067764479997</v>
      </c>
      <c r="L11" s="149">
        <v>1821</v>
      </c>
      <c r="M11" s="115"/>
    </row>
    <row r="12" spans="1:13" ht="13.8">
      <c r="A12" s="26" t="s">
        <v>46</v>
      </c>
      <c r="B12" s="57">
        <f t="shared" ref="B12:B22" si="4">L11</f>
        <v>1821</v>
      </c>
      <c r="C12" s="147">
        <v>1999.6</v>
      </c>
      <c r="D12" s="149">
        <v>24.569387590000002</v>
      </c>
      <c r="E12" s="44">
        <f t="shared" si="0"/>
        <v>3845.16938759</v>
      </c>
      <c r="F12" s="57"/>
      <c r="G12" s="57">
        <f t="shared" si="1"/>
        <v>1707.0747749400002</v>
      </c>
      <c r="H12" s="147">
        <v>593.20000000000005</v>
      </c>
      <c r="I12" s="44">
        <f t="shared" si="2"/>
        <v>1113.8747749400002</v>
      </c>
      <c r="J12" s="147">
        <v>257.73661264999998</v>
      </c>
      <c r="K12" s="44">
        <f t="shared" si="3"/>
        <v>1964.8113875900001</v>
      </c>
      <c r="L12" s="149">
        <v>1880.3579999999999</v>
      </c>
      <c r="M12" s="115"/>
    </row>
    <row r="13" spans="1:13" ht="13.8">
      <c r="A13" s="26" t="s">
        <v>47</v>
      </c>
      <c r="B13" s="57">
        <f t="shared" si="4"/>
        <v>1880.3579999999999</v>
      </c>
      <c r="C13" s="147">
        <v>2110.9</v>
      </c>
      <c r="D13" s="149">
        <v>35.384591924000006</v>
      </c>
      <c r="E13" s="44">
        <f t="shared" si="0"/>
        <v>4026.642591924</v>
      </c>
      <c r="F13" s="57"/>
      <c r="G13" s="57">
        <f t="shared" si="1"/>
        <v>1707.7187798420002</v>
      </c>
      <c r="H13" s="147">
        <v>607.70000000000005</v>
      </c>
      <c r="I13" s="44">
        <f t="shared" si="2"/>
        <v>1100.0187798420002</v>
      </c>
      <c r="J13" s="147">
        <v>184.85981208200002</v>
      </c>
      <c r="K13" s="44">
        <f t="shared" si="3"/>
        <v>1892.5785919240002</v>
      </c>
      <c r="L13" s="149">
        <v>2134.0639999999999</v>
      </c>
      <c r="M13" s="115"/>
    </row>
    <row r="14" spans="1:13" ht="13.8">
      <c r="A14" s="26" t="s">
        <v>48</v>
      </c>
      <c r="B14" s="57">
        <f t="shared" si="4"/>
        <v>2134.0639999999999</v>
      </c>
      <c r="C14" s="147">
        <v>2154.4</v>
      </c>
      <c r="D14" s="149">
        <v>32.632785239999997</v>
      </c>
      <c r="E14" s="44">
        <f t="shared" si="0"/>
        <v>4321.0967852399999</v>
      </c>
      <c r="F14" s="57"/>
      <c r="G14" s="57">
        <f t="shared" si="1"/>
        <v>1839.901971236</v>
      </c>
      <c r="H14" s="147">
        <v>587.70000000000005</v>
      </c>
      <c r="I14" s="44">
        <f t="shared" si="2"/>
        <v>1252.201971236</v>
      </c>
      <c r="J14" s="147">
        <v>125.29781400399999</v>
      </c>
      <c r="K14" s="44">
        <f t="shared" si="3"/>
        <v>1965.19978524</v>
      </c>
      <c r="L14" s="149">
        <v>2355.8969999999999</v>
      </c>
      <c r="M14" s="115"/>
    </row>
    <row r="15" spans="1:13" ht="13.8">
      <c r="A15" s="26" t="s">
        <v>49</v>
      </c>
      <c r="B15" s="57">
        <f t="shared" si="4"/>
        <v>2355.8969999999999</v>
      </c>
      <c r="C15" s="147">
        <v>1999.5</v>
      </c>
      <c r="D15" s="149">
        <v>28.053128114</v>
      </c>
      <c r="E15" s="44">
        <f t="shared" si="0"/>
        <v>4383.4501281140001</v>
      </c>
      <c r="F15" s="57"/>
      <c r="G15" s="57">
        <f t="shared" si="1"/>
        <v>1610.9766308420003</v>
      </c>
      <c r="H15" s="147">
        <v>641.4</v>
      </c>
      <c r="I15" s="44">
        <f t="shared" si="2"/>
        <v>969.57663084200033</v>
      </c>
      <c r="J15" s="147">
        <v>395.67549727200003</v>
      </c>
      <c r="K15" s="44">
        <f t="shared" si="3"/>
        <v>2006.6521281140003</v>
      </c>
      <c r="L15" s="149">
        <v>2376.7979999999998</v>
      </c>
      <c r="M15" s="115"/>
    </row>
    <row r="16" spans="1:13" ht="13.8">
      <c r="A16" s="26" t="s">
        <v>50</v>
      </c>
      <c r="B16" s="57">
        <f t="shared" si="4"/>
        <v>2376.7979999999998</v>
      </c>
      <c r="C16" s="147">
        <v>2201.1</v>
      </c>
      <c r="D16" s="149">
        <v>23.77351977</v>
      </c>
      <c r="E16" s="44">
        <f t="shared" si="0"/>
        <v>4601.6715197699996</v>
      </c>
      <c r="F16" s="57"/>
      <c r="G16" s="57">
        <f t="shared" si="1"/>
        <v>1954.1941969219995</v>
      </c>
      <c r="H16" s="147">
        <v>722.7</v>
      </c>
      <c r="I16" s="44">
        <f t="shared" si="2"/>
        <v>1231.4941969219994</v>
      </c>
      <c r="J16" s="147">
        <v>320.88332284799998</v>
      </c>
      <c r="K16" s="44">
        <f t="shared" si="3"/>
        <v>2275.0775197699995</v>
      </c>
      <c r="L16" s="149">
        <v>2326.5940000000001</v>
      </c>
      <c r="M16" s="115"/>
    </row>
    <row r="17" spans="1:13" ht="13.8">
      <c r="A17" s="26" t="s">
        <v>51</v>
      </c>
      <c r="B17" s="57">
        <f t="shared" si="4"/>
        <v>2326.5940000000001</v>
      </c>
      <c r="C17" s="147">
        <v>2099.5</v>
      </c>
      <c r="D17" s="149">
        <v>24.512728855999999</v>
      </c>
      <c r="E17" s="44">
        <f t="shared" si="0"/>
        <v>4450.6067288559998</v>
      </c>
      <c r="F17" s="57"/>
      <c r="G17" s="57">
        <f t="shared" si="1"/>
        <v>1619.8109929419998</v>
      </c>
      <c r="H17" s="147">
        <v>738.5</v>
      </c>
      <c r="I17" s="44">
        <f t="shared" si="2"/>
        <v>881.31099294199976</v>
      </c>
      <c r="J17" s="147">
        <v>230.19473591399998</v>
      </c>
      <c r="K17" s="44">
        <f t="shared" si="3"/>
        <v>1850.0057288559997</v>
      </c>
      <c r="L17" s="149">
        <v>2600.6010000000001</v>
      </c>
      <c r="M17" s="115"/>
    </row>
    <row r="18" spans="1:13" ht="13.8">
      <c r="A18" s="26" t="s">
        <v>52</v>
      </c>
      <c r="B18" s="57">
        <f t="shared" si="4"/>
        <v>2600.6010000000001</v>
      </c>
      <c r="C18" s="147">
        <v>2057.6</v>
      </c>
      <c r="D18" s="149">
        <v>24.339225261999999</v>
      </c>
      <c r="E18" s="44">
        <f t="shared" si="0"/>
        <v>4682.5402252619997</v>
      </c>
      <c r="F18" s="57"/>
      <c r="G18" s="57">
        <f t="shared" si="1"/>
        <v>1879.3010692319997</v>
      </c>
      <c r="H18" s="147">
        <v>872</v>
      </c>
      <c r="I18" s="44">
        <f t="shared" si="2"/>
        <v>1007.3010692319997</v>
      </c>
      <c r="J18" s="147">
        <v>357.82415602999998</v>
      </c>
      <c r="K18" s="44">
        <f t="shared" si="3"/>
        <v>2237.1252252619997</v>
      </c>
      <c r="L18" s="149">
        <v>2445.415</v>
      </c>
      <c r="M18" s="57"/>
    </row>
    <row r="19" spans="1:13" ht="13.8">
      <c r="A19" s="26" t="s">
        <v>53</v>
      </c>
      <c r="B19" s="57">
        <f t="shared" si="4"/>
        <v>2445.415</v>
      </c>
      <c r="C19" s="147">
        <v>2035.3</v>
      </c>
      <c r="D19" s="149">
        <v>25.234741905999996</v>
      </c>
      <c r="E19" s="44">
        <f>SUM(B19:D19)</f>
        <v>4505.9497419059999</v>
      </c>
      <c r="F19" s="57"/>
      <c r="G19" s="57">
        <f t="shared" si="1"/>
        <v>2067.4720998179996</v>
      </c>
      <c r="H19" s="147">
        <v>813.7</v>
      </c>
      <c r="I19" s="44">
        <f t="shared" si="2"/>
        <v>1253.7720998179996</v>
      </c>
      <c r="J19" s="147">
        <v>167.66664208799997</v>
      </c>
      <c r="K19" s="44">
        <f t="shared" si="3"/>
        <v>2235.1387419059997</v>
      </c>
      <c r="L19" s="149">
        <v>2270.8110000000001</v>
      </c>
      <c r="M19" s="115"/>
    </row>
    <row r="20" spans="1:13" ht="13.8">
      <c r="A20" s="26" t="s">
        <v>55</v>
      </c>
      <c r="B20" s="57">
        <f t="shared" si="4"/>
        <v>2270.8110000000001</v>
      </c>
      <c r="C20" s="147">
        <v>2122.8000000000002</v>
      </c>
      <c r="D20" s="149">
        <v>27.655194204000001</v>
      </c>
      <c r="E20" s="44">
        <f>SUM(B20:D20)</f>
        <v>4421.2661942040004</v>
      </c>
      <c r="F20" s="57"/>
      <c r="G20" s="57">
        <f t="shared" si="1"/>
        <v>2133.4108729320001</v>
      </c>
      <c r="H20" s="147">
        <v>841.5</v>
      </c>
      <c r="I20" s="44">
        <f t="shared" si="2"/>
        <v>1291.9108729320001</v>
      </c>
      <c r="J20" s="147">
        <v>164.63132127200001</v>
      </c>
      <c r="K20" s="44">
        <f t="shared" si="3"/>
        <v>2298.0421942040002</v>
      </c>
      <c r="L20" s="149">
        <v>2123.2240000000002</v>
      </c>
      <c r="M20" s="115"/>
    </row>
    <row r="21" spans="1:13" ht="13.8">
      <c r="A21" s="26" t="s">
        <v>56</v>
      </c>
      <c r="B21" s="57">
        <f t="shared" si="4"/>
        <v>2123.2240000000002</v>
      </c>
      <c r="C21" s="147">
        <v>2012.8</v>
      </c>
      <c r="D21" s="149">
        <v>22.851768147999998</v>
      </c>
      <c r="E21" s="44">
        <f>SUM(B21:D21)</f>
        <v>4158.8757681480001</v>
      </c>
      <c r="F21" s="57"/>
      <c r="G21" s="57">
        <f t="shared" si="1"/>
        <v>2013.3926200440001</v>
      </c>
      <c r="H21" s="147">
        <v>812</v>
      </c>
      <c r="I21" s="44">
        <f t="shared" si="2"/>
        <v>1201.3926200440001</v>
      </c>
      <c r="J21" s="147">
        <v>200.37614810399998</v>
      </c>
      <c r="K21" s="44">
        <f t="shared" si="3"/>
        <v>2213.7687681480002</v>
      </c>
      <c r="L21" s="149">
        <v>1945.107</v>
      </c>
      <c r="M21" s="115"/>
    </row>
    <row r="22" spans="1:13" ht="13.8">
      <c r="A22" s="26" t="s">
        <v>58</v>
      </c>
      <c r="B22" s="57">
        <f t="shared" si="4"/>
        <v>1945.107</v>
      </c>
      <c r="C22" s="147">
        <v>1967.6</v>
      </c>
      <c r="D22" s="149">
        <v>20.835863619999998</v>
      </c>
      <c r="E22" s="44">
        <f>SUM(B22:D22)</f>
        <v>3933.5428636199999</v>
      </c>
      <c r="F22" s="57"/>
      <c r="G22" s="57">
        <f t="shared" si="1"/>
        <v>1902.0094681020003</v>
      </c>
      <c r="H22" s="147">
        <v>803.2</v>
      </c>
      <c r="I22" s="44">
        <f t="shared" si="2"/>
        <v>1098.8094681020002</v>
      </c>
      <c r="J22" s="147">
        <v>178.85839551799998</v>
      </c>
      <c r="K22" s="44">
        <f t="shared" si="3"/>
        <v>2080.8678636200002</v>
      </c>
      <c r="L22" s="149">
        <v>1852.675</v>
      </c>
      <c r="M22" s="115"/>
    </row>
    <row r="23" spans="1:13" ht="13.8">
      <c r="A23" s="26" t="s">
        <v>3</v>
      </c>
      <c r="B23" s="57"/>
      <c r="C23" s="44">
        <f>SUM(C11:C22)</f>
        <v>24911.099999999995</v>
      </c>
      <c r="D23" s="147">
        <f t="shared" ref="D23:K23" si="5">SUM(D11:D22)</f>
        <v>320.33371108200004</v>
      </c>
      <c r="E23" s="147">
        <f>B11+C23+D23</f>
        <v>27006.749711081993</v>
      </c>
      <c r="F23" s="147"/>
      <c r="G23" s="147">
        <f t="shared" si="5"/>
        <v>22317.387070614001</v>
      </c>
      <c r="H23" s="147">
        <f t="shared" si="5"/>
        <v>8657.8000000000011</v>
      </c>
      <c r="I23" s="147">
        <f t="shared" si="5"/>
        <v>13659.587070613998</v>
      </c>
      <c r="J23" s="147">
        <f t="shared" si="5"/>
        <v>2836.6876404680006</v>
      </c>
      <c r="K23" s="147">
        <f t="shared" si="5"/>
        <v>25154.074711082001</v>
      </c>
      <c r="L23" s="57"/>
      <c r="M23" s="115"/>
    </row>
    <row r="24" spans="1:13" ht="13.8">
      <c r="A24" s="26"/>
      <c r="B24" s="114"/>
      <c r="C24" s="44"/>
      <c r="D24" s="44"/>
      <c r="E24" s="44"/>
      <c r="F24" s="57"/>
      <c r="G24" s="44"/>
      <c r="H24" s="44"/>
      <c r="I24" s="44"/>
      <c r="J24" s="44"/>
      <c r="K24" s="44"/>
      <c r="L24" s="57"/>
    </row>
    <row r="25" spans="1:13" ht="13.8">
      <c r="A25" s="135" t="s">
        <v>127</v>
      </c>
      <c r="B25" s="114"/>
      <c r="C25" s="44"/>
      <c r="D25" s="44"/>
      <c r="E25" s="44"/>
      <c r="F25" s="57"/>
      <c r="G25" s="44"/>
      <c r="H25" s="44"/>
      <c r="I25" s="44"/>
      <c r="J25" s="44"/>
      <c r="K25" s="44"/>
      <c r="L25" s="57"/>
    </row>
    <row r="26" spans="1:13" ht="13.8">
      <c r="A26" s="26" t="s">
        <v>45</v>
      </c>
      <c r="B26" s="57">
        <f>L22</f>
        <v>1852.675</v>
      </c>
      <c r="C26" s="147">
        <v>2282.5</v>
      </c>
      <c r="D26" s="149">
        <v>20.485769964000003</v>
      </c>
      <c r="E26" s="44">
        <f t="shared" ref="E26:E32" si="6">SUM(B26:D26)</f>
        <v>4155.6607699639999</v>
      </c>
      <c r="F26" s="57"/>
      <c r="G26" s="149">
        <v>2003.5</v>
      </c>
      <c r="H26" s="147">
        <v>795</v>
      </c>
      <c r="I26" s="147">
        <v>1208.5</v>
      </c>
      <c r="J26" s="147">
        <v>185.28398096999999</v>
      </c>
      <c r="K26" s="44">
        <f t="shared" ref="K26:K32" si="7">E26-L26</f>
        <v>2187.6607699639999</v>
      </c>
      <c r="L26" s="149">
        <v>1968</v>
      </c>
      <c r="M26" s="115"/>
    </row>
    <row r="27" spans="1:13" ht="13.8">
      <c r="A27" s="26" t="s">
        <v>46</v>
      </c>
      <c r="B27" s="57">
        <f t="shared" ref="B27:B32" si="8">L26</f>
        <v>1968</v>
      </c>
      <c r="C27" s="147">
        <v>2206.8000000000002</v>
      </c>
      <c r="D27" s="149">
        <v>21.209767171999999</v>
      </c>
      <c r="E27" s="44">
        <f t="shared" si="6"/>
        <v>4196.0097671720005</v>
      </c>
      <c r="F27" s="57"/>
      <c r="G27" s="149">
        <v>1901.6</v>
      </c>
      <c r="H27" s="147">
        <v>752</v>
      </c>
      <c r="I27" s="147">
        <v>1149.5999999999999</v>
      </c>
      <c r="J27" s="147">
        <v>177.19809619600002</v>
      </c>
      <c r="K27" s="44">
        <f t="shared" si="7"/>
        <v>2078.9097671720006</v>
      </c>
      <c r="L27" s="149">
        <v>2117.1</v>
      </c>
      <c r="M27" s="115"/>
    </row>
    <row r="28" spans="1:13" ht="13.8">
      <c r="A28" s="26" t="s">
        <v>47</v>
      </c>
      <c r="B28" s="57">
        <f t="shared" si="8"/>
        <v>2117.1</v>
      </c>
      <c r="C28" s="147">
        <v>2233.5</v>
      </c>
      <c r="D28" s="149">
        <v>25.343429671999999</v>
      </c>
      <c r="E28" s="44">
        <f t="shared" si="6"/>
        <v>4375.9434296720001</v>
      </c>
      <c r="F28" s="57"/>
      <c r="G28" s="149">
        <v>2030</v>
      </c>
      <c r="H28" s="147">
        <v>831</v>
      </c>
      <c r="I28" s="147">
        <v>1199</v>
      </c>
      <c r="J28" s="147">
        <v>234.80680095399998</v>
      </c>
      <c r="K28" s="44">
        <f t="shared" si="7"/>
        <v>2265.1434296719999</v>
      </c>
      <c r="L28" s="149">
        <v>2110.8000000000002</v>
      </c>
      <c r="M28" s="115"/>
    </row>
    <row r="29" spans="1:13" ht="13.8">
      <c r="A29" s="26" t="s">
        <v>48</v>
      </c>
      <c r="B29" s="57">
        <f t="shared" si="8"/>
        <v>2110.8000000000002</v>
      </c>
      <c r="C29" s="147">
        <v>2308.8000000000002</v>
      </c>
      <c r="D29" s="151">
        <v>18.986848825999999</v>
      </c>
      <c r="E29" s="125">
        <f t="shared" si="6"/>
        <v>4438.5868488260003</v>
      </c>
      <c r="F29" s="124"/>
      <c r="G29" s="151">
        <v>1804.7</v>
      </c>
      <c r="H29" s="152">
        <v>683</v>
      </c>
      <c r="I29" s="147">
        <v>1121.7</v>
      </c>
      <c r="J29" s="152">
        <v>327.840442182</v>
      </c>
      <c r="K29" s="125">
        <f t="shared" si="7"/>
        <v>2132.5868488260003</v>
      </c>
      <c r="L29" s="151">
        <v>2306</v>
      </c>
      <c r="M29" s="115"/>
    </row>
    <row r="30" spans="1:13" ht="13.8">
      <c r="A30" s="26" t="s">
        <v>49</v>
      </c>
      <c r="B30" s="57">
        <f t="shared" si="8"/>
        <v>2306</v>
      </c>
      <c r="C30" s="147">
        <v>1924.7</v>
      </c>
      <c r="D30" s="151">
        <v>21.454259529999998</v>
      </c>
      <c r="E30" s="125">
        <f t="shared" si="6"/>
        <v>4252.1542595299998</v>
      </c>
      <c r="F30" s="124"/>
      <c r="G30" s="151">
        <v>1690.2</v>
      </c>
      <c r="H30" s="152">
        <v>552</v>
      </c>
      <c r="I30" s="147">
        <v>1138.2</v>
      </c>
      <c r="J30" s="152">
        <v>255.98636483199999</v>
      </c>
      <c r="K30" s="125">
        <f t="shared" si="7"/>
        <v>1946.1542595299998</v>
      </c>
      <c r="L30" s="151">
        <v>2306</v>
      </c>
      <c r="M30" s="115"/>
    </row>
    <row r="31" spans="1:13" ht="13.8">
      <c r="A31" s="26" t="s">
        <v>50</v>
      </c>
      <c r="B31" s="57">
        <f t="shared" si="8"/>
        <v>2306</v>
      </c>
      <c r="C31" s="147">
        <v>2222.1</v>
      </c>
      <c r="D31" s="151">
        <v>21.305227217999999</v>
      </c>
      <c r="E31" s="125">
        <f t="shared" si="6"/>
        <v>4549.4052272180006</v>
      </c>
      <c r="F31" s="124"/>
      <c r="G31" s="151">
        <v>2148.1999999999998</v>
      </c>
      <c r="H31" s="152">
        <v>740</v>
      </c>
      <c r="I31" s="147">
        <v>1408.2</v>
      </c>
      <c r="J31" s="152">
        <v>155.83400562399999</v>
      </c>
      <c r="K31" s="125">
        <f t="shared" si="7"/>
        <v>2304.1052272180004</v>
      </c>
      <c r="L31" s="151">
        <v>2245.3000000000002</v>
      </c>
      <c r="M31" s="115"/>
    </row>
    <row r="32" spans="1:13" ht="13.8">
      <c r="A32" s="26" t="s">
        <v>51</v>
      </c>
      <c r="B32" s="57">
        <f t="shared" si="8"/>
        <v>2245.3000000000002</v>
      </c>
      <c r="C32" s="147">
        <v>1991.9</v>
      </c>
      <c r="D32" s="151">
        <v>20.523909890000002</v>
      </c>
      <c r="E32" s="125">
        <f t="shared" si="6"/>
        <v>4257.7239098900009</v>
      </c>
      <c r="F32" s="124"/>
      <c r="G32" s="151">
        <v>1950.5</v>
      </c>
      <c r="H32" s="152">
        <v>700</v>
      </c>
      <c r="I32" s="152">
        <f>G32-H32</f>
        <v>1250.5</v>
      </c>
      <c r="J32" s="152">
        <v>129.60828702800001</v>
      </c>
      <c r="K32" s="125">
        <f t="shared" si="7"/>
        <v>2080.123909890001</v>
      </c>
      <c r="L32" s="151">
        <v>2177.6</v>
      </c>
      <c r="M32" s="115"/>
    </row>
    <row r="33" spans="1:13" ht="13.8">
      <c r="A33" s="26" t="s">
        <v>52</v>
      </c>
      <c r="B33" s="149">
        <f t="shared" ref="B33" si="9">L32</f>
        <v>2177.6</v>
      </c>
      <c r="C33" s="147">
        <v>2043.058</v>
      </c>
      <c r="D33" s="151">
        <v>16.572789925999999</v>
      </c>
      <c r="E33" s="152">
        <f t="shared" ref="E33" si="10">SUM(B33:D33)</f>
        <v>4237.2307899259995</v>
      </c>
      <c r="F33" s="151"/>
      <c r="G33" s="151">
        <f>K33-J33</f>
        <v>2019.3452497379997</v>
      </c>
      <c r="H33" s="152" t="s">
        <v>10</v>
      </c>
      <c r="I33" s="152" t="s">
        <v>10</v>
      </c>
      <c r="J33" s="152">
        <v>71.225540187999997</v>
      </c>
      <c r="K33" s="152">
        <f>E33-L33</f>
        <v>2090.5707899259996</v>
      </c>
      <c r="L33" s="151">
        <f>1720.633+426.027</f>
        <v>2146.66</v>
      </c>
      <c r="M33" s="115"/>
    </row>
    <row r="34" spans="1:13" ht="13.8">
      <c r="A34" s="22" t="s">
        <v>128</v>
      </c>
      <c r="B34" s="63"/>
      <c r="C34" s="49">
        <f>SUM(C26:C32)</f>
        <v>15170.300000000001</v>
      </c>
      <c r="D34" s="63">
        <f>SUM(D26:D32)</f>
        <v>149.309212272</v>
      </c>
      <c r="E34" s="49">
        <f>B26+C34+D34</f>
        <v>17172.284212272003</v>
      </c>
      <c r="F34" s="63"/>
      <c r="G34" s="63">
        <f>SUM(G26:G32)</f>
        <v>13528.7</v>
      </c>
      <c r="H34" s="49">
        <f>SUM(H26:H32)</f>
        <v>5053</v>
      </c>
      <c r="I34" s="49">
        <f>SUM(I26:I32)</f>
        <v>8475.7000000000007</v>
      </c>
      <c r="J34" s="49">
        <f>SUM(J26:J32)</f>
        <v>1466.5579777859998</v>
      </c>
      <c r="K34" s="63">
        <f>SUM(K26:K32)</f>
        <v>14994.684212272001</v>
      </c>
      <c r="L34" s="63"/>
    </row>
    <row r="35" spans="1:13" ht="16.2">
      <c r="A35" s="61" t="s">
        <v>160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3" ht="14.4">
      <c r="A36" s="23" t="s">
        <v>95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3" ht="13.8">
      <c r="A37" s="27" t="s">
        <v>18</v>
      </c>
      <c r="B37" s="53">
        <f ca="1">NOW()</f>
        <v>44391.598262037034</v>
      </c>
    </row>
  </sheetData>
  <mergeCells count="3">
    <mergeCell ref="B5:L5"/>
    <mergeCell ref="G2:I2"/>
    <mergeCell ref="B2:E2"/>
  </mergeCells>
  <phoneticPr fontId="9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topLeftCell="A10" zoomScale="76" zoomScaleNormal="100" workbookViewId="0">
      <selection activeCell="E32" sqref="E32"/>
    </sheetView>
  </sheetViews>
  <sheetFormatPr defaultRowHeight="13.2"/>
  <cols>
    <col min="1" max="1" width="14.77734375" customWidth="1"/>
    <col min="2" max="2" width="12.6640625" customWidth="1"/>
    <col min="3" max="3" width="10.21875" customWidth="1"/>
    <col min="4" max="4" width="13.44140625" customWidth="1"/>
    <col min="5" max="5" width="15.21875" customWidth="1"/>
    <col min="6" max="6" width="10.5546875" customWidth="1"/>
    <col min="7" max="7" width="11.77734375" customWidth="1"/>
    <col min="8" max="8" width="8.77734375" customWidth="1"/>
    <col min="9" max="9" width="9.77734375" customWidth="1"/>
    <col min="10" max="11" width="7.77734375" customWidth="1"/>
    <col min="12" max="12" width="8.5546875" customWidth="1"/>
    <col min="13" max="13" width="9.5546875" customWidth="1"/>
    <col min="14" max="15" width="7.5546875" customWidth="1"/>
    <col min="19" max="19" width="17.44140625" bestFit="1" customWidth="1"/>
    <col min="21" max="21" width="28.33203125" bestFit="1" customWidth="1"/>
  </cols>
  <sheetData>
    <row r="1" spans="1:15" ht="13.8">
      <c r="A1" s="22" t="s">
        <v>140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3"/>
      <c r="N1" s="23"/>
      <c r="O1" s="23"/>
    </row>
    <row r="2" spans="1:15" ht="13.8">
      <c r="A2" s="23"/>
      <c r="B2" s="175" t="s">
        <v>0</v>
      </c>
      <c r="C2" s="175"/>
      <c r="D2" s="175"/>
      <c r="E2" s="175"/>
      <c r="F2" s="64"/>
      <c r="G2" s="175" t="s">
        <v>17</v>
      </c>
      <c r="H2" s="175"/>
      <c r="I2" s="175"/>
      <c r="J2" s="175"/>
      <c r="K2" s="64"/>
      <c r="L2" s="23"/>
      <c r="M2" s="23"/>
      <c r="N2" s="23"/>
      <c r="O2" s="23"/>
    </row>
    <row r="3" spans="1:15" ht="13.8">
      <c r="A3" s="23" t="s">
        <v>64</v>
      </c>
      <c r="B3" s="27" t="s">
        <v>28</v>
      </c>
      <c r="C3" s="27"/>
      <c r="D3" s="27"/>
      <c r="E3" s="27"/>
      <c r="F3" s="65"/>
      <c r="G3" s="27"/>
      <c r="H3" s="27"/>
      <c r="I3" s="27"/>
      <c r="J3" s="27"/>
      <c r="K3" s="25" t="s">
        <v>26</v>
      </c>
      <c r="L3" s="23"/>
      <c r="M3" s="23"/>
      <c r="N3" s="23"/>
      <c r="O3" s="23"/>
    </row>
    <row r="4" spans="1:15" ht="13.8">
      <c r="A4" s="28" t="s">
        <v>66</v>
      </c>
      <c r="B4" s="30" t="s">
        <v>42</v>
      </c>
      <c r="C4" s="66" t="s">
        <v>1</v>
      </c>
      <c r="D4" s="32" t="s">
        <v>29</v>
      </c>
      <c r="E4" s="30" t="s">
        <v>73</v>
      </c>
      <c r="F4" s="31"/>
      <c r="G4" s="30" t="s">
        <v>32</v>
      </c>
      <c r="H4" s="30" t="s">
        <v>4</v>
      </c>
      <c r="I4" s="30" t="s">
        <v>33</v>
      </c>
      <c r="J4" s="30" t="s">
        <v>30</v>
      </c>
      <c r="K4" s="30" t="s">
        <v>25</v>
      </c>
      <c r="L4" s="23"/>
      <c r="M4" s="23"/>
      <c r="N4" s="23"/>
      <c r="O4" s="23"/>
    </row>
    <row r="5" spans="1:15" ht="14.4">
      <c r="A5" s="23"/>
      <c r="B5" s="180" t="s">
        <v>14</v>
      </c>
      <c r="C5" s="180"/>
      <c r="D5" s="180"/>
      <c r="E5" s="180"/>
      <c r="F5" s="180"/>
      <c r="G5" s="180"/>
      <c r="H5" s="180"/>
      <c r="I5" s="180"/>
      <c r="J5" s="180"/>
      <c r="K5" s="180"/>
      <c r="L5" s="23"/>
      <c r="M5" s="23"/>
      <c r="N5" s="23"/>
      <c r="O5" s="23"/>
    </row>
    <row r="6" spans="1:15" ht="13.8">
      <c r="A6" s="23" t="s">
        <v>119</v>
      </c>
      <c r="B6" s="67">
        <v>477</v>
      </c>
      <c r="C6" s="67">
        <v>5945</v>
      </c>
      <c r="D6" s="68">
        <v>1.0880000000000001</v>
      </c>
      <c r="E6" s="67">
        <v>6423.0879999999997</v>
      </c>
      <c r="F6" s="38"/>
      <c r="G6" s="67">
        <v>1712.0099999999998</v>
      </c>
      <c r="H6" s="69">
        <v>340.67500000000001</v>
      </c>
      <c r="I6" s="67">
        <v>3914.4029999999993</v>
      </c>
      <c r="J6" s="67">
        <v>5967.0879999999997</v>
      </c>
      <c r="K6" s="67">
        <v>456</v>
      </c>
      <c r="L6" s="23"/>
      <c r="M6" s="23"/>
      <c r="N6" s="23"/>
      <c r="O6" s="23"/>
    </row>
    <row r="7" spans="1:15" ht="16.2">
      <c r="A7" s="26" t="s">
        <v>122</v>
      </c>
      <c r="B7" s="74">
        <f>K6</f>
        <v>456</v>
      </c>
      <c r="C7" s="74">
        <v>4509</v>
      </c>
      <c r="D7" s="131">
        <v>1</v>
      </c>
      <c r="E7" s="74">
        <f>B7+C7+D7</f>
        <v>4966</v>
      </c>
      <c r="F7" s="75"/>
      <c r="G7" s="74">
        <v>1600</v>
      </c>
      <c r="H7" s="77">
        <v>300</v>
      </c>
      <c r="I7" s="74">
        <f>J7-G7-H7</f>
        <v>2707.0208999999995</v>
      </c>
      <c r="J7" s="74">
        <f>E7-K7</f>
        <v>4607.0208999999995</v>
      </c>
      <c r="K7" s="74">
        <v>358.97910000000002</v>
      </c>
      <c r="L7" s="23"/>
      <c r="M7" s="23"/>
      <c r="N7" s="23"/>
      <c r="O7" s="23"/>
    </row>
    <row r="8" spans="1:15" ht="16.2">
      <c r="A8" s="22" t="s">
        <v>153</v>
      </c>
      <c r="B8" s="70">
        <f>K7</f>
        <v>358.97910000000002</v>
      </c>
      <c r="C8" s="70">
        <v>5855</v>
      </c>
      <c r="D8" s="71">
        <v>25</v>
      </c>
      <c r="E8" s="70">
        <f>B8+C8+D8</f>
        <v>6238.9791000000005</v>
      </c>
      <c r="F8" s="72"/>
      <c r="G8" s="70">
        <v>1725</v>
      </c>
      <c r="H8" s="73">
        <v>400</v>
      </c>
      <c r="I8" s="70">
        <f>J8-G8-H8</f>
        <v>3663.9791000000005</v>
      </c>
      <c r="J8" s="70">
        <f>E8-K8</f>
        <v>5788.9791000000005</v>
      </c>
      <c r="K8" s="70">
        <v>450</v>
      </c>
      <c r="L8" s="23"/>
      <c r="M8" s="23"/>
      <c r="N8" s="23"/>
      <c r="O8" s="23"/>
    </row>
    <row r="9" spans="1:15" ht="16.2">
      <c r="A9" s="61" t="s">
        <v>96</v>
      </c>
      <c r="B9" s="23"/>
      <c r="C9" s="38"/>
      <c r="D9" s="38"/>
      <c r="E9" s="38"/>
      <c r="F9" s="38"/>
      <c r="G9" s="118"/>
      <c r="H9" s="38"/>
      <c r="I9" s="38"/>
      <c r="J9" s="38"/>
      <c r="K9" s="23"/>
      <c r="L9" s="23"/>
      <c r="M9" s="23"/>
      <c r="N9" s="23"/>
      <c r="O9" s="23"/>
    </row>
    <row r="10" spans="1:15" ht="14.4">
      <c r="A10" s="23" t="s">
        <v>151</v>
      </c>
      <c r="B10" s="39"/>
      <c r="C10" s="43"/>
      <c r="D10" s="23"/>
      <c r="E10" s="39"/>
      <c r="F10" s="39"/>
      <c r="G10" s="39"/>
      <c r="H10" s="39"/>
      <c r="I10" s="39"/>
      <c r="J10" s="39"/>
      <c r="K10" s="23"/>
      <c r="L10" s="23"/>
      <c r="M10" s="23"/>
      <c r="N10" s="23"/>
      <c r="O10" s="23"/>
    </row>
    <row r="11" spans="1:15" ht="14.4">
      <c r="A11" s="23" t="s">
        <v>123</v>
      </c>
      <c r="B11" s="39"/>
      <c r="C11" s="43"/>
      <c r="D11" s="23"/>
      <c r="E11" s="39"/>
      <c r="F11" s="39"/>
      <c r="G11" s="39"/>
      <c r="H11" s="39"/>
      <c r="I11" s="39"/>
      <c r="J11" s="39"/>
      <c r="K11" s="23"/>
      <c r="L11" s="23"/>
      <c r="M11" s="23"/>
      <c r="N11" s="23"/>
      <c r="O11" s="23"/>
    </row>
    <row r="12" spans="1:15" ht="13.8">
      <c r="A12" s="23"/>
      <c r="B12" s="39"/>
      <c r="C12" s="43"/>
      <c r="D12" s="23"/>
      <c r="E12" s="39"/>
      <c r="F12" s="39"/>
      <c r="G12" s="39"/>
      <c r="H12" s="39"/>
      <c r="I12" s="39"/>
      <c r="J12" s="39"/>
      <c r="K12" s="23"/>
      <c r="L12" s="23"/>
      <c r="M12" s="23"/>
      <c r="N12" s="23"/>
      <c r="O12" s="23"/>
    </row>
    <row r="13" spans="1:15" ht="13.8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3.8">
      <c r="A14" s="22" t="s">
        <v>141</v>
      </c>
      <c r="B14" s="22"/>
      <c r="C14" s="22"/>
      <c r="D14" s="22"/>
      <c r="E14" s="22"/>
      <c r="F14" s="22"/>
      <c r="G14" s="22"/>
      <c r="H14" s="22"/>
      <c r="I14" s="23"/>
      <c r="J14" s="22"/>
      <c r="K14" s="23"/>
      <c r="L14" s="23"/>
      <c r="M14" s="23"/>
      <c r="N14" s="23"/>
      <c r="O14" s="23"/>
    </row>
    <row r="15" spans="1:15" ht="13.8">
      <c r="A15" s="23"/>
      <c r="B15" s="175" t="s">
        <v>0</v>
      </c>
      <c r="C15" s="175"/>
      <c r="D15" s="175"/>
      <c r="E15" s="175"/>
      <c r="F15" s="23"/>
      <c r="G15" s="175" t="s">
        <v>17</v>
      </c>
      <c r="H15" s="175"/>
      <c r="I15" s="175"/>
      <c r="J15" s="23"/>
      <c r="K15" s="23"/>
      <c r="L15" s="23"/>
      <c r="M15" s="23"/>
      <c r="N15" s="23"/>
      <c r="O15" s="23"/>
    </row>
    <row r="16" spans="1:15" ht="13.8">
      <c r="A16" s="23" t="s">
        <v>64</v>
      </c>
      <c r="B16" s="25" t="s">
        <v>28</v>
      </c>
      <c r="C16" s="27"/>
      <c r="D16" s="27"/>
      <c r="E16" s="27"/>
      <c r="F16" s="27"/>
      <c r="G16" s="27"/>
      <c r="H16" s="27"/>
      <c r="I16" s="27"/>
      <c r="J16" s="25" t="s">
        <v>26</v>
      </c>
      <c r="K16" s="23"/>
      <c r="L16" s="23"/>
      <c r="M16" s="23"/>
      <c r="N16" s="23"/>
      <c r="O16" s="23"/>
    </row>
    <row r="17" spans="1:15" ht="13.8">
      <c r="A17" s="28" t="s">
        <v>65</v>
      </c>
      <c r="B17" s="30" t="s">
        <v>25</v>
      </c>
      <c r="C17" s="66" t="s">
        <v>1</v>
      </c>
      <c r="D17" s="32" t="s">
        <v>29</v>
      </c>
      <c r="E17" s="30" t="s">
        <v>30</v>
      </c>
      <c r="F17" s="31"/>
      <c r="G17" s="74" t="s">
        <v>9</v>
      </c>
      <c r="H17" s="30" t="s">
        <v>4</v>
      </c>
      <c r="I17" s="32" t="s">
        <v>24</v>
      </c>
      <c r="J17" s="30" t="s">
        <v>25</v>
      </c>
      <c r="K17" s="23"/>
      <c r="L17" s="23"/>
      <c r="M17" s="23"/>
      <c r="N17" s="23"/>
      <c r="O17" s="23"/>
    </row>
    <row r="18" spans="1:15" ht="14.4">
      <c r="A18" s="23"/>
      <c r="B18" s="180" t="s">
        <v>15</v>
      </c>
      <c r="C18" s="180"/>
      <c r="D18" s="180"/>
      <c r="E18" s="180"/>
      <c r="F18" s="180"/>
      <c r="G18" s="180"/>
      <c r="H18" s="180"/>
      <c r="I18" s="180"/>
      <c r="J18" s="180"/>
      <c r="K18" s="23"/>
      <c r="L18" s="23"/>
      <c r="M18" s="23"/>
      <c r="N18" s="23"/>
      <c r="O18" s="23"/>
    </row>
    <row r="19" spans="1:15" ht="13.8">
      <c r="A19" s="23" t="s">
        <v>119</v>
      </c>
      <c r="B19" s="67">
        <v>43</v>
      </c>
      <c r="C19" s="69">
        <v>779.976</v>
      </c>
      <c r="D19" s="68">
        <v>0</v>
      </c>
      <c r="E19" s="69">
        <v>822.976</v>
      </c>
      <c r="F19" s="23"/>
      <c r="G19" s="69">
        <v>688.53899999999999</v>
      </c>
      <c r="H19" s="69">
        <v>109.565</v>
      </c>
      <c r="I19" s="69">
        <v>798.10400000000004</v>
      </c>
      <c r="J19" s="67">
        <v>24.872</v>
      </c>
      <c r="K19" s="23"/>
      <c r="L19" s="23"/>
      <c r="M19" s="23"/>
      <c r="N19" s="23"/>
      <c r="O19" s="23"/>
    </row>
    <row r="20" spans="1:15" ht="16.2">
      <c r="A20" s="26" t="s">
        <v>122</v>
      </c>
      <c r="B20" s="74">
        <v>25</v>
      </c>
      <c r="C20" s="77">
        <v>705</v>
      </c>
      <c r="D20" s="131">
        <v>0</v>
      </c>
      <c r="E20" s="77">
        <f>B20+C20+D20</f>
        <v>730</v>
      </c>
      <c r="F20" s="75"/>
      <c r="G20" s="77">
        <v>630</v>
      </c>
      <c r="H20" s="77">
        <v>75</v>
      </c>
      <c r="I20" s="77">
        <f>SUM(G20:H20)</f>
        <v>705</v>
      </c>
      <c r="J20" s="74">
        <v>25</v>
      </c>
      <c r="K20" s="23"/>
      <c r="L20" s="23"/>
      <c r="M20" s="23"/>
      <c r="N20" s="23"/>
      <c r="O20" s="23"/>
    </row>
    <row r="21" spans="1:15" ht="16.2">
      <c r="A21" s="22" t="s">
        <v>153</v>
      </c>
      <c r="B21" s="70">
        <v>25</v>
      </c>
      <c r="C21" s="73">
        <v>775</v>
      </c>
      <c r="D21" s="71">
        <v>0</v>
      </c>
      <c r="E21" s="73">
        <f>B21+C21+D21</f>
        <v>800</v>
      </c>
      <c r="F21" s="72"/>
      <c r="G21" s="73">
        <v>700</v>
      </c>
      <c r="H21" s="73">
        <v>75</v>
      </c>
      <c r="I21" s="73">
        <f>SUM(G21:H21)</f>
        <v>775</v>
      </c>
      <c r="J21" s="70">
        <v>25</v>
      </c>
      <c r="K21" s="23"/>
      <c r="L21" s="23"/>
      <c r="M21" s="23"/>
      <c r="N21" s="23"/>
      <c r="O21" s="23"/>
    </row>
    <row r="22" spans="1:15" ht="16.2">
      <c r="A22" s="61" t="s">
        <v>96</v>
      </c>
      <c r="B22" s="23"/>
      <c r="C22" s="38"/>
      <c r="D22" s="38"/>
      <c r="E22" s="38"/>
      <c r="F22" s="38"/>
      <c r="G22" s="38"/>
      <c r="H22" s="38"/>
      <c r="I22" s="23"/>
      <c r="J22" s="23"/>
      <c r="K22" s="23"/>
      <c r="L22" s="23"/>
      <c r="M22" s="23"/>
      <c r="N22" s="23"/>
      <c r="O22" s="23"/>
    </row>
    <row r="23" spans="1:15" ht="14.4">
      <c r="A23" s="23" t="s">
        <v>161</v>
      </c>
      <c r="B23" s="75"/>
      <c r="C23" s="75"/>
      <c r="D23" s="75"/>
      <c r="E23" s="75"/>
      <c r="F23" s="75"/>
      <c r="G23" s="75"/>
      <c r="H23" s="75"/>
      <c r="I23" s="23"/>
      <c r="J23" s="23"/>
      <c r="K23" s="23"/>
      <c r="L23" s="23"/>
      <c r="M23" s="23"/>
      <c r="N23" s="23"/>
      <c r="O23" s="23"/>
    </row>
    <row r="24" spans="1:15" ht="13.8">
      <c r="A24" s="26"/>
      <c r="B24" s="39"/>
      <c r="C24" s="39"/>
      <c r="D24" s="39"/>
      <c r="E24" s="39"/>
      <c r="F24" s="39"/>
      <c r="G24" s="39"/>
      <c r="H24" s="39"/>
      <c r="I24" s="23"/>
      <c r="J24" s="23"/>
      <c r="K24" s="23"/>
      <c r="L24" s="23"/>
      <c r="M24" s="23"/>
      <c r="N24" s="23"/>
      <c r="O24" s="23"/>
    </row>
    <row r="25" spans="1:15" ht="13.8">
      <c r="A25" s="26"/>
      <c r="B25" s="39"/>
      <c r="C25" s="43"/>
      <c r="D25" s="39"/>
      <c r="E25" s="39"/>
      <c r="F25" s="39"/>
      <c r="G25" s="39"/>
      <c r="H25" s="39"/>
      <c r="I25" s="23"/>
      <c r="J25" s="23"/>
      <c r="K25" s="23"/>
      <c r="L25" s="23"/>
      <c r="M25" s="23"/>
      <c r="N25" s="23"/>
      <c r="O25" s="23"/>
    </row>
    <row r="26" spans="1:15" ht="13.8">
      <c r="A26" s="22" t="s">
        <v>142</v>
      </c>
      <c r="B26" s="22"/>
      <c r="C26" s="22"/>
      <c r="D26" s="22"/>
      <c r="E26" s="22"/>
      <c r="F26" s="22"/>
      <c r="G26" s="22"/>
      <c r="H26" s="22"/>
      <c r="I26" s="23"/>
      <c r="J26" s="22"/>
      <c r="K26" s="23"/>
      <c r="L26" s="23"/>
      <c r="M26" s="23"/>
      <c r="N26" s="23"/>
      <c r="O26" s="23"/>
    </row>
    <row r="27" spans="1:15" ht="13.8">
      <c r="A27" s="23"/>
      <c r="B27" s="175" t="s">
        <v>0</v>
      </c>
      <c r="C27" s="175"/>
      <c r="D27" s="175"/>
      <c r="E27" s="175"/>
      <c r="F27" s="23"/>
      <c r="G27" s="175" t="s">
        <v>17</v>
      </c>
      <c r="H27" s="175"/>
      <c r="I27" s="175"/>
      <c r="J27" s="23"/>
      <c r="K27" s="23"/>
      <c r="L27" s="23"/>
      <c r="M27" s="23"/>
      <c r="N27" s="23"/>
      <c r="O27" s="23"/>
    </row>
    <row r="28" spans="1:15" ht="13.8">
      <c r="A28" s="23" t="s">
        <v>64</v>
      </c>
      <c r="B28" s="25" t="s">
        <v>28</v>
      </c>
      <c r="C28" s="27"/>
      <c r="D28" s="27"/>
      <c r="E28" s="27"/>
      <c r="F28" s="27"/>
      <c r="G28" s="27"/>
      <c r="H28" s="27"/>
      <c r="I28" s="27"/>
      <c r="J28" s="25" t="s">
        <v>26</v>
      </c>
      <c r="K28" s="23"/>
      <c r="L28" s="23"/>
      <c r="M28" s="23"/>
      <c r="N28" s="23"/>
      <c r="O28" s="23"/>
    </row>
    <row r="29" spans="1:15" ht="13.8">
      <c r="A29" s="28" t="s">
        <v>65</v>
      </c>
      <c r="B29" s="30" t="s">
        <v>25</v>
      </c>
      <c r="C29" s="30" t="s">
        <v>1</v>
      </c>
      <c r="D29" s="32" t="s">
        <v>29</v>
      </c>
      <c r="E29" s="30" t="s">
        <v>30</v>
      </c>
      <c r="F29" s="31"/>
      <c r="G29" s="30" t="s">
        <v>27</v>
      </c>
      <c r="H29" s="30" t="s">
        <v>4</v>
      </c>
      <c r="I29" s="30" t="s">
        <v>24</v>
      </c>
      <c r="J29" s="30" t="s">
        <v>74</v>
      </c>
      <c r="K29" s="23"/>
      <c r="L29" s="23"/>
      <c r="M29" s="23"/>
      <c r="N29" s="23"/>
      <c r="O29" s="23"/>
    </row>
    <row r="30" spans="1:15" ht="14.4">
      <c r="A30" s="23"/>
      <c r="B30" s="180" t="s">
        <v>155</v>
      </c>
      <c r="C30" s="180"/>
      <c r="D30" s="180"/>
      <c r="E30" s="180"/>
      <c r="F30" s="180"/>
      <c r="G30" s="180"/>
      <c r="H30" s="180"/>
      <c r="I30" s="180"/>
      <c r="J30" s="180"/>
      <c r="K30" s="23"/>
      <c r="L30" s="23"/>
      <c r="M30" s="23"/>
      <c r="N30" s="23"/>
      <c r="O30" s="23"/>
    </row>
    <row r="31" spans="1:15" ht="13.8">
      <c r="A31" s="23" t="s">
        <v>119</v>
      </c>
      <c r="B31" s="68">
        <v>35.040999999999997</v>
      </c>
      <c r="C31" s="69">
        <v>481.34800000000001</v>
      </c>
      <c r="D31" s="68">
        <v>0.26666000000000001</v>
      </c>
      <c r="E31" s="76">
        <v>516.65566000000001</v>
      </c>
      <c r="F31" s="23"/>
      <c r="G31" s="69">
        <v>388.20186000000001</v>
      </c>
      <c r="H31" s="69">
        <v>83.915800000000004</v>
      </c>
      <c r="I31" s="69">
        <v>472.11766</v>
      </c>
      <c r="J31" s="77">
        <v>44.537999999999997</v>
      </c>
      <c r="K31" s="23"/>
      <c r="L31" s="23"/>
      <c r="M31" s="23"/>
      <c r="N31" s="23"/>
      <c r="O31" s="23"/>
    </row>
    <row r="32" spans="1:15" ht="16.2">
      <c r="A32" s="26" t="s">
        <v>122</v>
      </c>
      <c r="B32" s="131">
        <f>J31</f>
        <v>44.537999999999997</v>
      </c>
      <c r="C32" s="77">
        <v>440</v>
      </c>
      <c r="D32" s="131">
        <v>5</v>
      </c>
      <c r="E32" s="132">
        <f>B32+C32+D32</f>
        <v>489.53800000000001</v>
      </c>
      <c r="F32" s="75"/>
      <c r="G32" s="77">
        <f>I32-H32</f>
        <v>379.53800000000001</v>
      </c>
      <c r="H32" s="77">
        <v>65</v>
      </c>
      <c r="I32" s="77">
        <f>E32-J32</f>
        <v>444.53800000000001</v>
      </c>
      <c r="J32" s="77">
        <v>45</v>
      </c>
      <c r="K32" s="23"/>
      <c r="L32" s="23"/>
      <c r="M32" s="23"/>
      <c r="N32" s="23"/>
      <c r="O32" s="23"/>
    </row>
    <row r="33" spans="1:15" ht="16.2">
      <c r="A33" s="22" t="s">
        <v>153</v>
      </c>
      <c r="B33" s="71">
        <f>J32</f>
        <v>45</v>
      </c>
      <c r="C33" s="73">
        <v>485</v>
      </c>
      <c r="D33" s="71">
        <v>5</v>
      </c>
      <c r="E33" s="78">
        <f>B33+C33+D33</f>
        <v>535</v>
      </c>
      <c r="F33" s="72"/>
      <c r="G33" s="73">
        <f>I33-H33</f>
        <v>424</v>
      </c>
      <c r="H33" s="73">
        <v>66</v>
      </c>
      <c r="I33" s="73">
        <f>E33-J33</f>
        <v>490</v>
      </c>
      <c r="J33" s="73">
        <v>45</v>
      </c>
      <c r="K33" s="23"/>
      <c r="L33" s="23"/>
      <c r="M33" s="23"/>
      <c r="N33" s="23"/>
      <c r="O33" s="23"/>
    </row>
    <row r="34" spans="1:15" ht="16.2">
      <c r="A34" s="61" t="s">
        <v>96</v>
      </c>
      <c r="B34" s="23"/>
      <c r="C34" s="38"/>
      <c r="D34" s="38"/>
      <c r="E34" s="38"/>
      <c r="F34" s="38"/>
      <c r="G34" s="38"/>
      <c r="H34" s="38"/>
      <c r="I34" s="23"/>
      <c r="J34" s="23"/>
      <c r="K34" s="23"/>
      <c r="L34" s="23"/>
      <c r="M34" s="23"/>
      <c r="N34" s="23"/>
      <c r="O34" s="23"/>
    </row>
    <row r="35" spans="1:15" ht="14.4">
      <c r="A35" s="23" t="s">
        <v>161</v>
      </c>
      <c r="B35" s="39"/>
      <c r="C35" s="43"/>
      <c r="D35" s="39"/>
      <c r="E35" s="39"/>
      <c r="F35" s="39"/>
      <c r="G35" s="39"/>
      <c r="H35" s="39"/>
      <c r="I35" s="23"/>
      <c r="J35" s="23"/>
      <c r="K35" s="23"/>
      <c r="L35" s="23"/>
      <c r="M35" s="23"/>
      <c r="N35" s="23"/>
      <c r="O35" s="23"/>
    </row>
    <row r="36" spans="1:15" ht="13.8">
      <c r="A36" s="26"/>
      <c r="B36" s="26"/>
      <c r="C36" s="26"/>
      <c r="D36" s="26"/>
      <c r="E36" s="26"/>
      <c r="F36" s="26"/>
      <c r="G36" s="26"/>
      <c r="H36" s="26"/>
      <c r="I36" s="23"/>
      <c r="J36" s="23"/>
      <c r="K36" s="23"/>
      <c r="L36" s="23"/>
      <c r="M36" s="23"/>
      <c r="N36" s="23"/>
      <c r="O36" s="23"/>
    </row>
    <row r="37" spans="1:15" ht="13.8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3.8">
      <c r="A38" s="22" t="s">
        <v>143</v>
      </c>
      <c r="B38" s="22"/>
      <c r="C38" s="22"/>
      <c r="D38" s="22"/>
      <c r="E38" s="22"/>
      <c r="F38" s="22"/>
      <c r="G38" s="22"/>
      <c r="H38" s="22"/>
      <c r="I38" s="22"/>
      <c r="J38" s="23"/>
      <c r="K38" s="23"/>
      <c r="L38" s="23"/>
      <c r="M38" s="23"/>
      <c r="N38" s="23"/>
      <c r="O38" s="23"/>
    </row>
    <row r="39" spans="1:15" ht="13.8">
      <c r="A39" s="23"/>
      <c r="B39" s="175" t="s">
        <v>19</v>
      </c>
      <c r="C39" s="175"/>
      <c r="D39" s="25" t="s">
        <v>22</v>
      </c>
      <c r="E39" s="175" t="s">
        <v>70</v>
      </c>
      <c r="F39" s="175"/>
      <c r="G39" s="175"/>
      <c r="H39" s="175"/>
      <c r="I39" s="23"/>
      <c r="J39" s="130" t="s">
        <v>17</v>
      </c>
      <c r="K39" s="130"/>
      <c r="L39" s="130"/>
      <c r="M39" s="130"/>
      <c r="N39" s="130"/>
      <c r="O39" s="23"/>
    </row>
    <row r="40" spans="1:15" ht="13.8">
      <c r="A40" s="23" t="s">
        <v>64</v>
      </c>
      <c r="B40" s="25" t="s">
        <v>20</v>
      </c>
      <c r="C40" s="25" t="s">
        <v>21</v>
      </c>
      <c r="D40" s="23"/>
      <c r="E40" s="25" t="s">
        <v>28</v>
      </c>
      <c r="F40" s="25"/>
      <c r="G40" s="25"/>
      <c r="H40" s="25"/>
      <c r="I40" s="23"/>
      <c r="J40" s="116" t="s">
        <v>9</v>
      </c>
      <c r="K40" s="25"/>
      <c r="L40" s="25" t="s">
        <v>76</v>
      </c>
      <c r="M40" s="25"/>
      <c r="N40" s="25"/>
      <c r="O40" s="25" t="s">
        <v>26</v>
      </c>
    </row>
    <row r="41" spans="1:15" ht="13.8">
      <c r="A41" s="28" t="s">
        <v>66</v>
      </c>
      <c r="B41" s="29"/>
      <c r="C41" s="29"/>
      <c r="D41" s="29"/>
      <c r="E41" s="30" t="s">
        <v>25</v>
      </c>
      <c r="F41" s="30" t="s">
        <v>1</v>
      </c>
      <c r="G41" s="30" t="s">
        <v>29</v>
      </c>
      <c r="H41" s="30" t="s">
        <v>30</v>
      </c>
      <c r="I41" s="30"/>
      <c r="J41" s="30" t="s">
        <v>34</v>
      </c>
      <c r="K41" s="30" t="s">
        <v>32</v>
      </c>
      <c r="L41" s="30" t="s">
        <v>5</v>
      </c>
      <c r="M41" s="32" t="s">
        <v>4</v>
      </c>
      <c r="N41" s="30" t="s">
        <v>24</v>
      </c>
      <c r="O41" s="30" t="s">
        <v>74</v>
      </c>
    </row>
    <row r="42" spans="1:15" ht="14.4">
      <c r="A42" s="23"/>
      <c r="B42" s="178" t="s">
        <v>72</v>
      </c>
      <c r="C42" s="179"/>
      <c r="D42" s="174" t="s">
        <v>60</v>
      </c>
      <c r="E42" s="181" t="s">
        <v>16</v>
      </c>
      <c r="F42" s="180"/>
      <c r="G42" s="180"/>
      <c r="H42" s="180"/>
      <c r="I42" s="180"/>
      <c r="J42" s="180"/>
      <c r="K42" s="180"/>
      <c r="L42" s="180"/>
      <c r="M42" s="180"/>
      <c r="N42" s="180"/>
      <c r="O42" s="179"/>
    </row>
    <row r="43" spans="1:15" ht="13.8">
      <c r="A43" s="23"/>
      <c r="B43" s="25"/>
      <c r="C43" s="25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ht="13.8">
      <c r="A44" s="23" t="s">
        <v>119</v>
      </c>
      <c r="B44" s="67">
        <v>1432.7</v>
      </c>
      <c r="C44" s="67">
        <v>1389.7</v>
      </c>
      <c r="D44" s="67">
        <v>3933.5734331150607</v>
      </c>
      <c r="E44" s="67">
        <v>2421.09</v>
      </c>
      <c r="F44" s="67">
        <v>5466.4870000000001</v>
      </c>
      <c r="G44" s="77">
        <v>113.761</v>
      </c>
      <c r="H44" s="67">
        <v>8001.3380000000006</v>
      </c>
      <c r="I44" s="67"/>
      <c r="J44" s="67">
        <v>3221</v>
      </c>
      <c r="K44" s="67">
        <v>773.977124</v>
      </c>
      <c r="L44" s="69">
        <v>287.33884758693694</v>
      </c>
      <c r="M44" s="69">
        <v>1607.5340284130634</v>
      </c>
      <c r="N44" s="67">
        <v>5883.1500000000005</v>
      </c>
      <c r="O44" s="67">
        <v>2118.1880000000001</v>
      </c>
    </row>
    <row r="45" spans="1:15" ht="16.2">
      <c r="A45" s="26" t="s">
        <v>122</v>
      </c>
      <c r="B45" s="74">
        <v>1664.2</v>
      </c>
      <c r="C45" s="74">
        <v>1615.8</v>
      </c>
      <c r="D45" s="74">
        <f>F45*1000/C45</f>
        <v>3796.2000247555393</v>
      </c>
      <c r="E45" s="74">
        <f>O44</f>
        <v>2118.1880000000001</v>
      </c>
      <c r="F45" s="74">
        <v>6133.9</v>
      </c>
      <c r="G45" s="77">
        <v>115</v>
      </c>
      <c r="H45" s="74">
        <f>SUM(E45:G45)</f>
        <v>8367.0879999999997</v>
      </c>
      <c r="I45" s="74"/>
      <c r="J45" s="74">
        <v>3338</v>
      </c>
      <c r="K45" s="74">
        <v>850</v>
      </c>
      <c r="L45" s="77">
        <f>N45-J45-K45-M45</f>
        <v>581.55999999999949</v>
      </c>
      <c r="M45" s="77">
        <v>1450</v>
      </c>
      <c r="N45" s="74">
        <f>H45-O45</f>
        <v>6219.5599999999995</v>
      </c>
      <c r="O45" s="74">
        <v>2147.5279999999998</v>
      </c>
    </row>
    <row r="46" spans="1:15" ht="16.2">
      <c r="A46" s="22" t="s">
        <v>153</v>
      </c>
      <c r="B46" s="70">
        <v>1632.5</v>
      </c>
      <c r="C46" s="70">
        <v>1596.5</v>
      </c>
      <c r="D46" s="70">
        <v>4050</v>
      </c>
      <c r="E46" s="70">
        <f>O45</f>
        <v>2147.5279999999998</v>
      </c>
      <c r="F46" s="70">
        <v>6465</v>
      </c>
      <c r="G46" s="73">
        <v>115</v>
      </c>
      <c r="H46" s="70">
        <f>SUM(E46:G46)</f>
        <v>8727.5280000000002</v>
      </c>
      <c r="I46" s="70"/>
      <c r="J46" s="70">
        <v>3391</v>
      </c>
      <c r="K46" s="70">
        <v>850</v>
      </c>
      <c r="L46" s="73">
        <f>N46-J46-K46-M46</f>
        <v>732.94499999999971</v>
      </c>
      <c r="M46" s="73">
        <v>1500</v>
      </c>
      <c r="N46" s="70">
        <f>H46-O46</f>
        <v>6473.9449999999997</v>
      </c>
      <c r="O46" s="70">
        <v>2253.5830000000001</v>
      </c>
    </row>
    <row r="47" spans="1:15" ht="16.2">
      <c r="A47" s="61" t="s">
        <v>96</v>
      </c>
      <c r="B47" s="23"/>
      <c r="C47" s="38"/>
      <c r="D47" s="38"/>
      <c r="E47" s="38"/>
      <c r="F47" s="38"/>
      <c r="G47" s="38"/>
      <c r="H47" s="38"/>
      <c r="I47" s="23"/>
      <c r="J47" s="23"/>
      <c r="K47" s="23"/>
      <c r="L47" s="23"/>
      <c r="M47" s="23"/>
      <c r="N47" s="23"/>
      <c r="O47" s="23"/>
    </row>
    <row r="48" spans="1:15" ht="14.4">
      <c r="A48" s="23" t="s">
        <v>152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ht="14.4">
      <c r="A49" s="23" t="s">
        <v>123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ht="13.8">
      <c r="A50" s="27" t="s">
        <v>18</v>
      </c>
      <c r="B50" s="117">
        <f ca="1">NOW()</f>
        <v>44391.598262037034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ht="44.4" customHeight="1">
      <c r="A51" s="139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</row>
    <row r="52" spans="1:15" ht="15.6">
      <c r="G52" s="12"/>
      <c r="H52" s="12"/>
    </row>
    <row r="53" spans="1:15" ht="15.6">
      <c r="G53" s="12"/>
      <c r="H53" s="12"/>
    </row>
    <row r="54" spans="1:15" ht="15.6">
      <c r="G54" s="12"/>
      <c r="H54" s="12"/>
    </row>
  </sheetData>
  <mergeCells count="13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</mergeCells>
  <phoneticPr fontId="9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6"/>
  <sheetViews>
    <sheetView showGridLines="0" zoomScaleNormal="100" workbookViewId="0">
      <selection activeCell="L41" sqref="L41"/>
    </sheetView>
  </sheetViews>
  <sheetFormatPr defaultRowHeight="13.2"/>
  <cols>
    <col min="1" max="1" width="11.77734375" customWidth="1"/>
    <col min="2" max="2" width="18.88671875" bestFit="1" customWidth="1"/>
    <col min="3" max="3" width="22.109375" bestFit="1" customWidth="1"/>
    <col min="4" max="5" width="25.77734375" bestFit="1" customWidth="1"/>
    <col min="6" max="6" width="16.6640625" bestFit="1" customWidth="1"/>
    <col min="7" max="7" width="18.88671875" bestFit="1" customWidth="1"/>
    <col min="9" max="9" width="20.21875" bestFit="1" customWidth="1"/>
  </cols>
  <sheetData>
    <row r="1" spans="1:11" ht="15.6" customHeight="1">
      <c r="A1" s="22" t="s">
        <v>144</v>
      </c>
      <c r="B1" s="22"/>
      <c r="C1" s="22"/>
      <c r="D1" s="22"/>
      <c r="E1" s="22"/>
      <c r="F1" s="22"/>
      <c r="G1" s="22"/>
      <c r="H1" s="1"/>
      <c r="I1" s="1"/>
      <c r="J1" s="1"/>
      <c r="K1" s="1"/>
    </row>
    <row r="2" spans="1:11" ht="15.6" customHeight="1">
      <c r="A2" s="26" t="s">
        <v>11</v>
      </c>
      <c r="B2" s="62" t="s">
        <v>97</v>
      </c>
      <c r="C2" s="62" t="s">
        <v>98</v>
      </c>
      <c r="D2" s="62" t="s">
        <v>99</v>
      </c>
      <c r="E2" s="62" t="s">
        <v>100</v>
      </c>
      <c r="F2" s="62" t="s">
        <v>101</v>
      </c>
      <c r="G2" s="62" t="s">
        <v>102</v>
      </c>
      <c r="H2" s="1"/>
      <c r="I2" s="1"/>
      <c r="J2" s="1"/>
      <c r="K2" s="1"/>
    </row>
    <row r="3" spans="1:11" ht="15.6" customHeight="1">
      <c r="A3" s="22" t="s">
        <v>12</v>
      </c>
      <c r="B3" s="31"/>
      <c r="C3" s="79"/>
      <c r="D3" s="79"/>
      <c r="E3" s="79"/>
      <c r="F3" s="79"/>
      <c r="G3" s="79"/>
      <c r="H3" s="1"/>
    </row>
    <row r="4" spans="1:11" ht="14.4">
      <c r="A4" s="80"/>
      <c r="B4" s="81" t="s">
        <v>132</v>
      </c>
      <c r="C4" s="81" t="s">
        <v>133</v>
      </c>
      <c r="D4" s="81" t="s">
        <v>135</v>
      </c>
      <c r="E4" s="81" t="s">
        <v>135</v>
      </c>
      <c r="F4" s="81" t="s">
        <v>134</v>
      </c>
      <c r="G4" s="81" t="s">
        <v>132</v>
      </c>
      <c r="H4" s="1"/>
      <c r="I4" s="163"/>
      <c r="J4" s="163"/>
      <c r="K4" s="163"/>
    </row>
    <row r="5" spans="1:11" ht="13.8">
      <c r="A5" s="23"/>
      <c r="B5" s="23"/>
      <c r="C5" s="23"/>
      <c r="D5" s="25"/>
      <c r="E5" s="23"/>
      <c r="F5" s="23"/>
      <c r="G5" s="23"/>
      <c r="H5" s="1"/>
      <c r="I5" s="164"/>
    </row>
    <row r="6" spans="1:11" ht="13.8">
      <c r="A6" s="23" t="s">
        <v>43</v>
      </c>
      <c r="B6" s="82">
        <v>11.3</v>
      </c>
      <c r="C6" s="82">
        <v>161</v>
      </c>
      <c r="D6" s="150">
        <v>23.3</v>
      </c>
      <c r="E6" s="82">
        <v>19.3</v>
      </c>
      <c r="F6" s="82">
        <v>22.5</v>
      </c>
      <c r="G6" s="82">
        <v>12.2</v>
      </c>
      <c r="H6" s="1"/>
      <c r="I6" s="164"/>
    </row>
    <row r="7" spans="1:11" ht="13.8">
      <c r="A7" s="23" t="s">
        <v>54</v>
      </c>
      <c r="B7" s="82">
        <v>12.5</v>
      </c>
      <c r="C7" s="82">
        <v>260</v>
      </c>
      <c r="D7" s="150">
        <v>29.1</v>
      </c>
      <c r="E7" s="82">
        <v>24</v>
      </c>
      <c r="F7" s="82">
        <v>31.8</v>
      </c>
      <c r="G7" s="82">
        <v>13.9</v>
      </c>
      <c r="H7" s="1"/>
      <c r="I7" s="164"/>
    </row>
    <row r="8" spans="1:11" ht="13.8">
      <c r="A8" s="23" t="s">
        <v>69</v>
      </c>
      <c r="B8" s="82">
        <v>14.4</v>
      </c>
      <c r="C8" s="82">
        <v>252</v>
      </c>
      <c r="D8" s="150">
        <v>25.4</v>
      </c>
      <c r="E8" s="82">
        <v>26.5</v>
      </c>
      <c r="F8" s="82">
        <v>30.1</v>
      </c>
      <c r="G8" s="82">
        <v>13.8</v>
      </c>
      <c r="H8" s="1"/>
      <c r="I8" s="164"/>
    </row>
    <row r="9" spans="1:11" ht="13.8">
      <c r="A9" s="23" t="s">
        <v>75</v>
      </c>
      <c r="B9" s="82">
        <v>13</v>
      </c>
      <c r="C9" s="82">
        <v>246</v>
      </c>
      <c r="D9" s="150">
        <v>21.4</v>
      </c>
      <c r="E9" s="82">
        <v>20.6</v>
      </c>
      <c r="F9" s="82">
        <v>24.9</v>
      </c>
      <c r="G9" s="82">
        <v>13.8</v>
      </c>
      <c r="H9" s="1"/>
      <c r="I9" s="164"/>
    </row>
    <row r="10" spans="1:11" ht="13.8">
      <c r="A10" s="23" t="s">
        <v>77</v>
      </c>
      <c r="B10" s="82">
        <v>10.1</v>
      </c>
      <c r="C10" s="82">
        <v>194</v>
      </c>
      <c r="D10" s="150">
        <v>21.7</v>
      </c>
      <c r="E10" s="82">
        <v>16.899999999999999</v>
      </c>
      <c r="F10" s="82">
        <v>22</v>
      </c>
      <c r="G10" s="82">
        <v>11.8</v>
      </c>
      <c r="H10" s="1"/>
      <c r="I10" s="164"/>
    </row>
    <row r="11" spans="1:11" ht="13.8">
      <c r="A11" s="23" t="s">
        <v>78</v>
      </c>
      <c r="B11" s="82">
        <v>8.9499999999999993</v>
      </c>
      <c r="C11" s="82">
        <v>227</v>
      </c>
      <c r="D11" s="150">
        <v>19.600000000000001</v>
      </c>
      <c r="E11" s="82">
        <v>15.6</v>
      </c>
      <c r="F11" s="82">
        <v>19.3</v>
      </c>
      <c r="G11" s="82">
        <v>8.9499999999999993</v>
      </c>
      <c r="H11" s="1"/>
      <c r="I11" s="164"/>
    </row>
    <row r="12" spans="1:11" ht="13.8">
      <c r="A12" s="23" t="s">
        <v>90</v>
      </c>
      <c r="B12" s="82">
        <v>9.4700000000000006</v>
      </c>
      <c r="C12" s="82">
        <v>195</v>
      </c>
      <c r="D12" s="150">
        <v>17.399999999999999</v>
      </c>
      <c r="E12" s="82">
        <v>16.600000000000001</v>
      </c>
      <c r="F12" s="82">
        <v>19.7</v>
      </c>
      <c r="G12" s="82">
        <v>8</v>
      </c>
      <c r="H12" s="1"/>
      <c r="I12" s="164"/>
    </row>
    <row r="13" spans="1:11" ht="13.8">
      <c r="A13" s="23" t="s">
        <v>92</v>
      </c>
      <c r="B13" s="82">
        <v>9.33</v>
      </c>
      <c r="C13" s="82">
        <v>142</v>
      </c>
      <c r="D13" s="150">
        <v>17.2</v>
      </c>
      <c r="E13" s="82">
        <v>17.5</v>
      </c>
      <c r="F13" s="82">
        <v>22.9</v>
      </c>
      <c r="G13" s="82">
        <v>9.5299999999999994</v>
      </c>
      <c r="H13" s="1"/>
      <c r="I13" s="164"/>
    </row>
    <row r="14" spans="1:11" ht="13.8">
      <c r="A14" s="23" t="s">
        <v>117</v>
      </c>
      <c r="B14" s="82">
        <v>8.48</v>
      </c>
      <c r="C14" s="82">
        <v>155</v>
      </c>
      <c r="D14" s="150">
        <v>17.399999999999999</v>
      </c>
      <c r="E14" s="82">
        <v>15.8</v>
      </c>
      <c r="F14" s="82">
        <v>21.5</v>
      </c>
      <c r="G14" s="82">
        <v>9.89</v>
      </c>
      <c r="H14" s="1"/>
      <c r="I14" s="164"/>
    </row>
    <row r="15" spans="1:11" ht="13.8">
      <c r="A15" s="23" t="s">
        <v>119</v>
      </c>
      <c r="B15" s="82">
        <v>8.57</v>
      </c>
      <c r="C15" s="82">
        <v>161</v>
      </c>
      <c r="D15" s="150">
        <v>19.5</v>
      </c>
      <c r="E15" s="82">
        <v>14.8</v>
      </c>
      <c r="F15" s="82">
        <v>20.5</v>
      </c>
      <c r="G15" s="82">
        <v>9.15</v>
      </c>
      <c r="H15" s="1"/>
      <c r="I15" s="164"/>
    </row>
    <row r="16" spans="1:11" ht="16.2">
      <c r="A16" s="23" t="s">
        <v>156</v>
      </c>
      <c r="B16" s="82">
        <v>11.05</v>
      </c>
      <c r="C16" s="82">
        <v>185</v>
      </c>
      <c r="D16" s="150">
        <v>21.3</v>
      </c>
      <c r="E16" s="82">
        <v>18.55</v>
      </c>
      <c r="F16" s="82">
        <v>21</v>
      </c>
      <c r="G16" s="82">
        <v>11.45</v>
      </c>
      <c r="H16" s="1"/>
      <c r="I16" s="164"/>
    </row>
    <row r="17" spans="1:9" ht="16.2">
      <c r="A17" s="23" t="s">
        <v>157</v>
      </c>
      <c r="B17" s="82">
        <v>13.7</v>
      </c>
      <c r="C17" s="82">
        <v>235</v>
      </c>
      <c r="D17" s="150">
        <v>26.25</v>
      </c>
      <c r="E17" s="82">
        <v>28.6</v>
      </c>
      <c r="F17" s="82">
        <v>20.75</v>
      </c>
      <c r="G17" s="82">
        <v>15.75</v>
      </c>
      <c r="H17" s="1"/>
      <c r="I17" s="164"/>
    </row>
    <row r="18" spans="1:9" ht="13.8">
      <c r="A18" s="26"/>
      <c r="B18" s="84"/>
      <c r="C18" s="85"/>
      <c r="D18" s="86"/>
      <c r="E18" s="86"/>
      <c r="F18" s="83"/>
      <c r="G18" s="87"/>
      <c r="H18" s="2"/>
      <c r="I18" s="164"/>
    </row>
    <row r="19" spans="1:9" ht="13.8">
      <c r="A19" s="137" t="s">
        <v>119</v>
      </c>
      <c r="B19" s="82"/>
      <c r="C19" s="82"/>
      <c r="D19" s="82"/>
      <c r="E19" s="82"/>
      <c r="F19" s="82"/>
      <c r="G19" s="82"/>
      <c r="I19" s="164"/>
    </row>
    <row r="20" spans="1:9" ht="13.8">
      <c r="A20" s="26" t="s">
        <v>58</v>
      </c>
      <c r="B20" s="82">
        <v>8.35</v>
      </c>
      <c r="C20" s="82">
        <v>148</v>
      </c>
      <c r="D20" s="82">
        <v>18.5</v>
      </c>
      <c r="E20" s="82">
        <v>14.2</v>
      </c>
      <c r="F20" s="82">
        <v>19.8</v>
      </c>
      <c r="G20" s="82">
        <v>8.84</v>
      </c>
    </row>
    <row r="21" spans="1:9" ht="13.8">
      <c r="A21" s="26" t="s">
        <v>45</v>
      </c>
      <c r="B21" s="82">
        <v>8.6</v>
      </c>
      <c r="C21" s="82">
        <v>152</v>
      </c>
      <c r="D21" s="82">
        <v>17.5</v>
      </c>
      <c r="E21" s="82">
        <v>14.2</v>
      </c>
      <c r="F21" s="82">
        <v>20.399999999999999</v>
      </c>
      <c r="G21" s="82">
        <v>9.01</v>
      </c>
    </row>
    <row r="22" spans="1:9" ht="13.8">
      <c r="A22" s="26" t="s">
        <v>46</v>
      </c>
      <c r="B22" s="82">
        <v>8.59</v>
      </c>
      <c r="C22" s="82">
        <v>162</v>
      </c>
      <c r="D22" s="82">
        <v>17.7</v>
      </c>
      <c r="E22" s="82">
        <v>14.3</v>
      </c>
      <c r="F22" s="82">
        <v>19.2</v>
      </c>
      <c r="G22" s="82">
        <v>8.6999999999999993</v>
      </c>
    </row>
    <row r="23" spans="1:9" ht="13.8">
      <c r="A23" s="26" t="s">
        <v>47</v>
      </c>
      <c r="B23" s="82">
        <v>8.6999999999999993</v>
      </c>
      <c r="C23" s="82">
        <v>163</v>
      </c>
      <c r="D23" s="82">
        <v>17.8</v>
      </c>
      <c r="E23" s="82">
        <v>14.7</v>
      </c>
      <c r="F23" s="82">
        <v>19.600000000000001</v>
      </c>
      <c r="G23" s="82">
        <v>8.91</v>
      </c>
    </row>
    <row r="24" spans="1:9" ht="13.8">
      <c r="A24" s="26" t="s">
        <v>48</v>
      </c>
      <c r="B24" s="82">
        <v>8.84</v>
      </c>
      <c r="C24" s="82">
        <v>161</v>
      </c>
      <c r="D24" s="82">
        <v>19.5</v>
      </c>
      <c r="E24" s="82">
        <v>16.100000000000001</v>
      </c>
      <c r="F24" s="82">
        <v>20.9</v>
      </c>
      <c r="G24" s="82">
        <v>8.9700000000000006</v>
      </c>
    </row>
    <row r="25" spans="1:9" ht="13.8">
      <c r="A25" s="26" t="s">
        <v>49</v>
      </c>
      <c r="B25" s="82">
        <v>8.6</v>
      </c>
      <c r="C25" s="82">
        <v>190</v>
      </c>
      <c r="D25" s="82">
        <v>20.399999999999999</v>
      </c>
      <c r="E25" s="82">
        <v>16.100000000000001</v>
      </c>
      <c r="F25" s="82">
        <v>20.5</v>
      </c>
      <c r="G25" s="82">
        <v>10.4</v>
      </c>
    </row>
    <row r="26" spans="1:9" ht="13.8">
      <c r="A26" s="26" t="s">
        <v>50</v>
      </c>
      <c r="B26" s="82">
        <v>8.4700000000000006</v>
      </c>
      <c r="C26" s="82" t="s">
        <v>10</v>
      </c>
      <c r="D26" s="82">
        <v>20.9</v>
      </c>
      <c r="E26" s="82">
        <v>15.7</v>
      </c>
      <c r="F26" s="82">
        <v>20.6</v>
      </c>
      <c r="G26" s="82">
        <v>10.7</v>
      </c>
    </row>
    <row r="27" spans="1:9" ht="13.8">
      <c r="A27" s="26" t="s">
        <v>51</v>
      </c>
      <c r="B27" s="82">
        <v>8.35</v>
      </c>
      <c r="C27" s="82" t="s">
        <v>10</v>
      </c>
      <c r="D27" s="82">
        <v>20.3</v>
      </c>
      <c r="E27" s="82">
        <v>15.2</v>
      </c>
      <c r="F27" s="82">
        <v>20.6</v>
      </c>
      <c r="G27" s="82">
        <v>9.31</v>
      </c>
    </row>
    <row r="28" spans="1:9" ht="13.8">
      <c r="A28" s="26" t="s">
        <v>52</v>
      </c>
      <c r="B28" s="82">
        <v>8.2799999999999994</v>
      </c>
      <c r="C28" s="82" t="s">
        <v>10</v>
      </c>
      <c r="D28" s="82">
        <v>20.5</v>
      </c>
      <c r="E28" s="82">
        <v>14.4</v>
      </c>
      <c r="F28" s="82">
        <v>21.1</v>
      </c>
      <c r="G28" s="82">
        <v>9.57</v>
      </c>
    </row>
    <row r="29" spans="1:9" ht="13.8">
      <c r="A29" s="26" t="s">
        <v>53</v>
      </c>
      <c r="B29" s="82">
        <v>8.34</v>
      </c>
      <c r="C29" s="82" t="s">
        <v>10</v>
      </c>
      <c r="D29" s="82">
        <v>21.7</v>
      </c>
      <c r="E29" s="82">
        <v>15.2</v>
      </c>
      <c r="F29" s="82">
        <v>20.7</v>
      </c>
      <c r="G29" s="82">
        <v>10</v>
      </c>
    </row>
    <row r="30" spans="1:9" ht="13.8">
      <c r="A30" s="26" t="s">
        <v>55</v>
      </c>
      <c r="B30" s="82">
        <v>8.5</v>
      </c>
      <c r="C30" s="82" t="s">
        <v>10</v>
      </c>
      <c r="D30" s="82">
        <v>23.7</v>
      </c>
      <c r="E30" s="82">
        <v>15.5</v>
      </c>
      <c r="F30" s="82">
        <v>20.7</v>
      </c>
      <c r="G30" s="82">
        <v>9.64</v>
      </c>
    </row>
    <row r="31" spans="1:9" ht="13.8">
      <c r="A31" s="26" t="s">
        <v>56</v>
      </c>
      <c r="B31" s="82">
        <v>8.66</v>
      </c>
      <c r="C31" s="82">
        <v>155</v>
      </c>
      <c r="D31" s="82">
        <v>25.8</v>
      </c>
      <c r="E31" s="82">
        <v>15.1</v>
      </c>
      <c r="F31" s="82">
        <v>20.6</v>
      </c>
      <c r="G31" s="82">
        <v>8.56</v>
      </c>
    </row>
    <row r="32" spans="1:9" ht="13.8">
      <c r="A32" s="26"/>
      <c r="B32" s="82"/>
      <c r="C32" s="82"/>
      <c r="D32" s="82"/>
      <c r="E32" s="82"/>
      <c r="F32" s="82"/>
      <c r="G32" s="82"/>
    </row>
    <row r="33" spans="1:7" ht="13.8">
      <c r="A33" s="137" t="s">
        <v>127</v>
      </c>
      <c r="B33" s="82"/>
      <c r="C33" s="82"/>
      <c r="D33" s="82"/>
      <c r="E33" s="82"/>
      <c r="F33" s="82"/>
      <c r="G33" s="82"/>
    </row>
    <row r="34" spans="1:7" ht="13.8">
      <c r="A34" s="26" t="s">
        <v>58</v>
      </c>
      <c r="B34" s="82">
        <v>9.24</v>
      </c>
      <c r="C34" s="82">
        <v>160</v>
      </c>
      <c r="D34" s="82">
        <v>23.7</v>
      </c>
      <c r="E34" s="82">
        <v>16.399999999999999</v>
      </c>
      <c r="F34" s="82">
        <v>20.5</v>
      </c>
      <c r="G34" s="82">
        <v>9.64</v>
      </c>
    </row>
    <row r="35" spans="1:7" ht="13.8">
      <c r="A35" s="26" t="s">
        <v>45</v>
      </c>
      <c r="B35" s="82">
        <v>9.6300000000000008</v>
      </c>
      <c r="C35" s="82">
        <v>189</v>
      </c>
      <c r="D35" s="82">
        <v>19.100000000000001</v>
      </c>
      <c r="E35" s="82">
        <v>16.2</v>
      </c>
      <c r="F35" s="82">
        <v>20.9</v>
      </c>
      <c r="G35" s="82">
        <v>9.76</v>
      </c>
    </row>
    <row r="36" spans="1:7" ht="13.8">
      <c r="A36" s="26" t="s">
        <v>46</v>
      </c>
      <c r="B36" s="82">
        <v>10.3</v>
      </c>
      <c r="C36" s="82">
        <v>199</v>
      </c>
      <c r="D36" s="82">
        <v>18.899999999999999</v>
      </c>
      <c r="E36" s="82">
        <v>18.100000000000001</v>
      </c>
      <c r="F36" s="82">
        <v>21.2</v>
      </c>
      <c r="G36" s="82">
        <v>10.7</v>
      </c>
    </row>
    <row r="37" spans="1:7" ht="13.8">
      <c r="A37" s="26" t="s">
        <v>47</v>
      </c>
      <c r="B37" s="82">
        <v>10.5</v>
      </c>
      <c r="C37" s="82">
        <v>190</v>
      </c>
      <c r="D37" s="82">
        <v>19.2</v>
      </c>
      <c r="E37" s="82">
        <v>17.2</v>
      </c>
      <c r="F37" s="82">
        <v>20.399999999999999</v>
      </c>
      <c r="G37" s="82">
        <v>10.9</v>
      </c>
    </row>
    <row r="38" spans="1:7" ht="13.8">
      <c r="A38" s="26" t="s">
        <v>48</v>
      </c>
      <c r="B38" s="82">
        <v>10.9</v>
      </c>
      <c r="C38" s="82">
        <v>209</v>
      </c>
      <c r="D38" s="82">
        <v>19.600000000000001</v>
      </c>
      <c r="E38" s="82">
        <v>18.8</v>
      </c>
      <c r="F38" s="82">
        <v>20.5</v>
      </c>
      <c r="G38" s="82">
        <v>12</v>
      </c>
    </row>
    <row r="39" spans="1:7" ht="13.8">
      <c r="A39" s="26" t="s">
        <v>49</v>
      </c>
      <c r="B39" s="82">
        <v>12.7</v>
      </c>
      <c r="C39" s="82">
        <v>186</v>
      </c>
      <c r="D39" s="82">
        <v>21.4</v>
      </c>
      <c r="E39" s="82">
        <v>20.399999999999999</v>
      </c>
      <c r="F39" s="82">
        <v>20.5</v>
      </c>
      <c r="G39" s="82">
        <v>13.2</v>
      </c>
    </row>
    <row r="40" spans="1:7" ht="13.8">
      <c r="A40" s="26" t="s">
        <v>50</v>
      </c>
      <c r="B40" s="82">
        <v>13.2</v>
      </c>
      <c r="C40" s="82" t="s">
        <v>10</v>
      </c>
      <c r="D40" s="82">
        <v>21.6</v>
      </c>
      <c r="E40" s="82">
        <v>22</v>
      </c>
      <c r="F40" s="82">
        <v>21.2</v>
      </c>
      <c r="G40" s="82">
        <v>15.7</v>
      </c>
    </row>
    <row r="41" spans="1:7" ht="13.8">
      <c r="A41" s="26" t="s">
        <v>51</v>
      </c>
      <c r="B41" s="150">
        <v>13.9</v>
      </c>
      <c r="C41" s="150" t="s">
        <v>10</v>
      </c>
      <c r="D41" s="150">
        <v>23.7</v>
      </c>
      <c r="E41" s="150">
        <v>23.8</v>
      </c>
      <c r="F41" s="150">
        <v>21.4</v>
      </c>
      <c r="G41" s="150">
        <v>18.100000000000001</v>
      </c>
    </row>
    <row r="42" spans="1:7" ht="13.8">
      <c r="A42" s="22" t="s">
        <v>52</v>
      </c>
      <c r="B42" s="88">
        <v>14.8</v>
      </c>
      <c r="C42" s="88" t="s">
        <v>10</v>
      </c>
      <c r="D42" s="88">
        <v>26.4</v>
      </c>
      <c r="E42" s="88">
        <v>26.1</v>
      </c>
      <c r="F42" s="88">
        <v>21.3</v>
      </c>
      <c r="G42" s="88">
        <v>18.3</v>
      </c>
    </row>
    <row r="43" spans="1:7" ht="16.2">
      <c r="A43" s="23" t="s">
        <v>158</v>
      </c>
      <c r="B43" s="23"/>
      <c r="C43" s="23"/>
      <c r="D43" s="23"/>
      <c r="E43" s="23"/>
      <c r="F43" s="23"/>
      <c r="G43" s="23"/>
    </row>
    <row r="44" spans="1:7" ht="13.8">
      <c r="A44" s="23" t="s">
        <v>44</v>
      </c>
      <c r="B44" s="89"/>
      <c r="C44" s="89"/>
      <c r="D44" s="89"/>
      <c r="E44" s="89"/>
      <c r="F44" s="89"/>
      <c r="G44" s="89"/>
    </row>
    <row r="45" spans="1:7" ht="14.4">
      <c r="A45" s="23" t="s">
        <v>103</v>
      </c>
      <c r="B45" s="23"/>
      <c r="C45" s="23"/>
      <c r="D45" s="23"/>
      <c r="E45" s="23"/>
      <c r="F45" s="23"/>
      <c r="G45" s="23"/>
    </row>
    <row r="46" spans="1:7" ht="13.8">
      <c r="A46" s="27" t="s">
        <v>18</v>
      </c>
      <c r="B46" s="53">
        <f ca="1">NOW()</f>
        <v>44391.598262037034</v>
      </c>
      <c r="C46" s="23"/>
      <c r="D46" s="23"/>
      <c r="E46" s="23"/>
      <c r="F46" s="23"/>
      <c r="G46" s="23"/>
    </row>
  </sheetData>
  <phoneticPr fontId="9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T66"/>
  <sheetViews>
    <sheetView showGridLines="0" zoomScale="70" zoomScaleNormal="70" workbookViewId="0">
      <selection activeCell="A44" sqref="A44"/>
    </sheetView>
  </sheetViews>
  <sheetFormatPr defaultRowHeight="13.2"/>
  <cols>
    <col min="1" max="2" width="11.77734375" customWidth="1"/>
    <col min="3" max="3" width="11.5546875" customWidth="1"/>
    <col min="4" max="4" width="13.77734375" customWidth="1"/>
    <col min="5" max="5" width="10.5546875" customWidth="1"/>
    <col min="6" max="7" width="10.77734375" customWidth="1"/>
    <col min="8" max="9" width="10.5546875" customWidth="1"/>
    <col min="12" max="12" width="22.33203125" bestFit="1" customWidth="1"/>
    <col min="13" max="13" width="20.21875" bestFit="1" customWidth="1"/>
  </cols>
  <sheetData>
    <row r="1" spans="1:9" ht="13.8">
      <c r="A1" s="22" t="s">
        <v>145</v>
      </c>
      <c r="B1" s="22"/>
      <c r="C1" s="22"/>
      <c r="D1" s="22"/>
      <c r="E1" s="22"/>
      <c r="F1" s="22"/>
      <c r="G1" s="22"/>
      <c r="H1" s="22"/>
      <c r="I1" s="23"/>
    </row>
    <row r="2" spans="1:9" ht="15.6" customHeight="1">
      <c r="A2" s="90" t="s">
        <v>11</v>
      </c>
      <c r="B2" s="62" t="s">
        <v>35</v>
      </c>
      <c r="C2" s="62" t="s">
        <v>13</v>
      </c>
      <c r="D2" s="62" t="s">
        <v>68</v>
      </c>
      <c r="E2" s="91" t="s">
        <v>41</v>
      </c>
      <c r="F2" s="91" t="s">
        <v>36</v>
      </c>
      <c r="G2" s="62" t="s">
        <v>40</v>
      </c>
      <c r="H2" s="62" t="s">
        <v>104</v>
      </c>
      <c r="I2" s="92" t="s">
        <v>39</v>
      </c>
    </row>
    <row r="3" spans="1:9" ht="15.6" customHeight="1">
      <c r="A3" s="66" t="s">
        <v>12</v>
      </c>
      <c r="B3" s="30" t="s">
        <v>105</v>
      </c>
      <c r="C3" s="30" t="s">
        <v>106</v>
      </c>
      <c r="D3" s="30" t="s">
        <v>107</v>
      </c>
      <c r="E3" s="30" t="s">
        <v>107</v>
      </c>
      <c r="F3" s="30" t="s">
        <v>108</v>
      </c>
      <c r="G3" s="30" t="s">
        <v>109</v>
      </c>
      <c r="H3" s="30"/>
      <c r="I3" s="30" t="s">
        <v>110</v>
      </c>
    </row>
    <row r="4" spans="1:9" ht="14.4">
      <c r="A4" s="23"/>
      <c r="B4" s="42" t="s">
        <v>136</v>
      </c>
      <c r="C4" s="93"/>
      <c r="D4" s="93"/>
      <c r="E4" s="93"/>
      <c r="F4" s="93"/>
      <c r="G4" s="93"/>
      <c r="H4" s="93"/>
      <c r="I4" s="93"/>
    </row>
    <row r="5" spans="1:9" ht="13.8">
      <c r="A5" s="23"/>
      <c r="B5" s="23"/>
      <c r="C5" s="23"/>
      <c r="D5" s="23"/>
      <c r="E5" s="23"/>
      <c r="F5" s="23"/>
      <c r="G5" s="23"/>
      <c r="H5" s="23"/>
      <c r="I5" s="23"/>
    </row>
    <row r="6" spans="1:9" ht="13.8">
      <c r="A6" s="23" t="s">
        <v>43</v>
      </c>
      <c r="B6" s="82">
        <v>53.2</v>
      </c>
      <c r="C6" s="82">
        <v>54.5</v>
      </c>
      <c r="D6" s="82">
        <v>86.12</v>
      </c>
      <c r="E6" s="82">
        <v>58.68</v>
      </c>
      <c r="F6" s="82">
        <v>77.239999999999995</v>
      </c>
      <c r="G6" s="82">
        <v>60.76</v>
      </c>
      <c r="H6" s="82">
        <v>51.52</v>
      </c>
      <c r="I6" s="82">
        <v>51.34</v>
      </c>
    </row>
    <row r="7" spans="1:9" ht="13.8">
      <c r="A7" s="23" t="s">
        <v>54</v>
      </c>
      <c r="B7" s="82">
        <v>51.9</v>
      </c>
      <c r="C7" s="82">
        <v>53.22</v>
      </c>
      <c r="D7" s="82">
        <v>83.2</v>
      </c>
      <c r="E7" s="82">
        <v>57.19</v>
      </c>
      <c r="F7" s="82">
        <v>100.15</v>
      </c>
      <c r="G7" s="82">
        <v>56.09</v>
      </c>
      <c r="H7" s="82">
        <v>48.11</v>
      </c>
      <c r="I7" s="82">
        <v>50.33</v>
      </c>
    </row>
    <row r="8" spans="1:9" ht="13.8">
      <c r="A8" s="23" t="s">
        <v>69</v>
      </c>
      <c r="B8" s="82">
        <v>47.13</v>
      </c>
      <c r="C8" s="82">
        <v>48.6</v>
      </c>
      <c r="D8" s="82">
        <v>65.87</v>
      </c>
      <c r="E8" s="82">
        <v>56.17</v>
      </c>
      <c r="F8" s="82">
        <v>91.83</v>
      </c>
      <c r="G8" s="82">
        <v>46.66</v>
      </c>
      <c r="H8" s="82">
        <v>51.8</v>
      </c>
      <c r="I8" s="82">
        <v>43.24</v>
      </c>
    </row>
    <row r="9" spans="1:9" ht="13.8">
      <c r="A9" s="23" t="s">
        <v>75</v>
      </c>
      <c r="B9" s="82">
        <v>38.229999999999997</v>
      </c>
      <c r="C9" s="82">
        <v>60.66</v>
      </c>
      <c r="D9" s="82">
        <v>59.12</v>
      </c>
      <c r="E9" s="82">
        <v>43.7</v>
      </c>
      <c r="F9" s="82">
        <v>68.23</v>
      </c>
      <c r="G9" s="82">
        <v>39.43</v>
      </c>
      <c r="H9" s="82">
        <v>43.93</v>
      </c>
      <c r="I9" s="82">
        <v>39.76</v>
      </c>
    </row>
    <row r="10" spans="1:9" ht="13.8">
      <c r="A10" s="23" t="s">
        <v>77</v>
      </c>
      <c r="B10" s="82">
        <v>31.6</v>
      </c>
      <c r="C10" s="82">
        <v>45.74</v>
      </c>
      <c r="D10" s="82">
        <v>66.72</v>
      </c>
      <c r="E10" s="82">
        <v>37.81</v>
      </c>
      <c r="F10" s="82">
        <v>57.96</v>
      </c>
      <c r="G10" s="82">
        <v>37.479999999999997</v>
      </c>
      <c r="H10" s="82">
        <v>33.43</v>
      </c>
      <c r="I10" s="82">
        <v>31.36</v>
      </c>
    </row>
    <row r="11" spans="1:9" ht="13.8">
      <c r="A11" s="23" t="s">
        <v>78</v>
      </c>
      <c r="B11" s="82">
        <v>29.86</v>
      </c>
      <c r="C11" s="82">
        <v>45.87</v>
      </c>
      <c r="D11" s="82">
        <v>57.81</v>
      </c>
      <c r="E11" s="82">
        <v>35.270000000000003</v>
      </c>
      <c r="F11" s="82">
        <v>58.26</v>
      </c>
      <c r="G11" s="82">
        <v>39.25</v>
      </c>
      <c r="H11" s="82">
        <v>32.229999999999997</v>
      </c>
      <c r="I11" s="82">
        <v>30.07</v>
      </c>
    </row>
    <row r="12" spans="1:9" ht="13.8">
      <c r="A12" s="23" t="s">
        <v>90</v>
      </c>
      <c r="B12" s="82">
        <v>32.549999999999997</v>
      </c>
      <c r="C12" s="82">
        <v>40.92</v>
      </c>
      <c r="D12" s="82">
        <v>53.54</v>
      </c>
      <c r="E12" s="82">
        <v>38.729999999999997</v>
      </c>
      <c r="F12" s="82">
        <v>66.73</v>
      </c>
      <c r="G12" s="82">
        <v>37.43</v>
      </c>
      <c r="H12" s="82">
        <v>33.07</v>
      </c>
      <c r="I12" s="82">
        <v>34.75</v>
      </c>
    </row>
    <row r="13" spans="1:9" ht="13.8">
      <c r="A13" s="23" t="s">
        <v>92</v>
      </c>
      <c r="B13" s="82">
        <v>30.04</v>
      </c>
      <c r="C13" s="82">
        <v>31.87</v>
      </c>
      <c r="D13" s="82">
        <v>54.57</v>
      </c>
      <c r="E13" s="82">
        <v>38.270000000000003</v>
      </c>
      <c r="F13" s="82">
        <v>66.72</v>
      </c>
      <c r="G13" s="82">
        <v>30.35</v>
      </c>
      <c r="H13" s="82">
        <v>34.159999999999997</v>
      </c>
      <c r="I13" s="82">
        <v>31.21</v>
      </c>
    </row>
    <row r="14" spans="1:9" ht="13.8">
      <c r="A14" s="23" t="s">
        <v>117</v>
      </c>
      <c r="B14" s="82">
        <v>28.26</v>
      </c>
      <c r="C14" s="82">
        <v>35.14</v>
      </c>
      <c r="D14" s="82">
        <v>53.28</v>
      </c>
      <c r="E14" s="82">
        <v>36.090000000000003</v>
      </c>
      <c r="F14" s="82">
        <v>64.72</v>
      </c>
      <c r="G14" s="82">
        <v>26.93</v>
      </c>
      <c r="H14" s="82">
        <v>31.65</v>
      </c>
      <c r="I14" s="82">
        <v>33.11</v>
      </c>
    </row>
    <row r="15" spans="1:9" ht="13.8">
      <c r="A15" s="23" t="s">
        <v>119</v>
      </c>
      <c r="B15" s="82">
        <v>29.67</v>
      </c>
      <c r="C15" s="82">
        <v>40.18</v>
      </c>
      <c r="D15" s="82">
        <v>65.03</v>
      </c>
      <c r="E15" s="82">
        <v>37.869999999999997</v>
      </c>
      <c r="F15" s="82">
        <v>65.569999999999993</v>
      </c>
      <c r="G15" s="82">
        <v>39.47</v>
      </c>
      <c r="H15" s="82">
        <v>35.75</v>
      </c>
      <c r="I15" s="82">
        <v>38.369999999999997</v>
      </c>
    </row>
    <row r="16" spans="1:9" ht="16.2">
      <c r="A16" s="23" t="s">
        <v>122</v>
      </c>
      <c r="B16" s="82">
        <v>57.5</v>
      </c>
      <c r="C16" s="82">
        <v>80</v>
      </c>
      <c r="D16" s="82">
        <v>77.5</v>
      </c>
      <c r="E16" s="82">
        <v>73</v>
      </c>
      <c r="F16" s="82">
        <v>107.5</v>
      </c>
      <c r="G16" s="82">
        <v>44</v>
      </c>
      <c r="H16" s="82">
        <v>43.5</v>
      </c>
      <c r="I16" s="82">
        <v>39</v>
      </c>
    </row>
    <row r="17" spans="1:20" ht="16.2">
      <c r="A17" s="23" t="s">
        <v>154</v>
      </c>
      <c r="B17" s="82">
        <v>65</v>
      </c>
      <c r="C17" s="82">
        <v>80.099999999999994</v>
      </c>
      <c r="D17" s="82">
        <v>80</v>
      </c>
      <c r="E17" s="82">
        <v>76</v>
      </c>
      <c r="F17" s="82">
        <v>120</v>
      </c>
      <c r="G17" s="82">
        <v>78</v>
      </c>
      <c r="H17" s="82">
        <v>56</v>
      </c>
      <c r="I17" s="82">
        <v>58</v>
      </c>
    </row>
    <row r="18" spans="1:20" ht="13.8">
      <c r="A18" s="23"/>
      <c r="B18" s="39"/>
      <c r="C18" s="85"/>
      <c r="D18" s="94"/>
      <c r="E18" s="94"/>
      <c r="F18" s="94"/>
      <c r="G18" s="94"/>
      <c r="H18" s="23"/>
      <c r="I18" s="23"/>
    </row>
    <row r="19" spans="1:20" ht="13.8">
      <c r="A19" s="135" t="s">
        <v>119</v>
      </c>
      <c r="B19" s="82"/>
      <c r="C19" s="82"/>
      <c r="D19" s="82"/>
      <c r="E19" s="82"/>
      <c r="F19" s="82"/>
      <c r="G19" s="82"/>
      <c r="H19" s="82"/>
      <c r="I19" s="82"/>
    </row>
    <row r="20" spans="1:20" ht="13.8">
      <c r="A20" s="26" t="s">
        <v>45</v>
      </c>
      <c r="B20" s="82">
        <v>30.14</v>
      </c>
      <c r="C20" s="82">
        <v>37.94</v>
      </c>
      <c r="D20" s="82">
        <v>56</v>
      </c>
      <c r="E20" s="82">
        <v>36.31</v>
      </c>
      <c r="F20" s="82">
        <v>61.5</v>
      </c>
      <c r="G20" s="82">
        <v>28.3</v>
      </c>
      <c r="H20" s="82" t="s">
        <v>10</v>
      </c>
      <c r="I20" s="82" t="s">
        <v>10</v>
      </c>
    </row>
    <row r="21" spans="1:20" ht="13.8">
      <c r="A21" s="26" t="s">
        <v>46</v>
      </c>
      <c r="B21" s="82">
        <v>30.62</v>
      </c>
      <c r="C21" s="82">
        <v>38.4</v>
      </c>
      <c r="D21" s="82">
        <v>56</v>
      </c>
      <c r="E21" s="82">
        <v>36.15</v>
      </c>
      <c r="F21" s="82">
        <v>63.1</v>
      </c>
      <c r="G21" s="82">
        <v>30.36</v>
      </c>
      <c r="H21" s="82" t="s">
        <v>10</v>
      </c>
      <c r="I21" s="82">
        <v>35</v>
      </c>
    </row>
    <row r="22" spans="1:20" ht="13.8">
      <c r="A22" s="26" t="s">
        <v>47</v>
      </c>
      <c r="B22" s="82">
        <v>32.270000000000003</v>
      </c>
      <c r="C22" s="82">
        <v>40.25</v>
      </c>
      <c r="D22" s="82">
        <v>76</v>
      </c>
      <c r="E22" s="82">
        <v>38.06</v>
      </c>
      <c r="F22" s="82">
        <v>60.13</v>
      </c>
      <c r="G22" s="82">
        <v>31.25</v>
      </c>
      <c r="H22" s="82" t="s">
        <v>10</v>
      </c>
      <c r="I22" s="82" t="s">
        <v>10</v>
      </c>
    </row>
    <row r="23" spans="1:20" ht="13.8">
      <c r="A23" s="26" t="s">
        <v>48</v>
      </c>
      <c r="B23" s="82">
        <v>33.04</v>
      </c>
      <c r="C23" s="82">
        <v>40.1</v>
      </c>
      <c r="D23" s="82">
        <v>70</v>
      </c>
      <c r="E23" s="82">
        <v>37.9</v>
      </c>
      <c r="F23" s="82">
        <v>59</v>
      </c>
      <c r="G23" s="82">
        <v>33.299999999999997</v>
      </c>
      <c r="H23" s="82" t="s">
        <v>10</v>
      </c>
      <c r="I23" s="82">
        <v>36.14</v>
      </c>
    </row>
    <row r="24" spans="1:20" ht="13.8">
      <c r="A24" s="26" t="s">
        <v>49</v>
      </c>
      <c r="B24" s="82">
        <v>30.26</v>
      </c>
      <c r="C24" s="82">
        <v>38.5</v>
      </c>
      <c r="D24" s="82">
        <v>70</v>
      </c>
      <c r="E24" s="82">
        <v>35.5</v>
      </c>
      <c r="F24" s="82">
        <v>59</v>
      </c>
      <c r="G24" s="82">
        <v>36</v>
      </c>
      <c r="H24" s="82" t="s">
        <v>10</v>
      </c>
      <c r="I24" s="82">
        <v>38.21</v>
      </c>
    </row>
    <row r="25" spans="1:20" ht="13.8">
      <c r="A25" s="26" t="s">
        <v>50</v>
      </c>
      <c r="B25" s="82">
        <v>27.04</v>
      </c>
      <c r="C25" s="82">
        <v>36.19</v>
      </c>
      <c r="D25" s="82">
        <v>76</v>
      </c>
      <c r="E25" s="82">
        <v>32.880000000000003</v>
      </c>
      <c r="F25" s="82">
        <v>59.75</v>
      </c>
      <c r="G25" s="82">
        <v>36.94</v>
      </c>
      <c r="H25" s="82" t="s">
        <v>10</v>
      </c>
      <c r="I25" s="82">
        <v>35.5</v>
      </c>
      <c r="N25" s="141"/>
      <c r="O25" s="141"/>
      <c r="P25" s="141"/>
      <c r="Q25" s="141"/>
      <c r="R25" s="141"/>
      <c r="S25" s="141"/>
      <c r="T25" s="141"/>
    </row>
    <row r="26" spans="1:20" ht="13.8">
      <c r="A26" s="26" t="s">
        <v>51</v>
      </c>
      <c r="B26" s="82">
        <v>25.69</v>
      </c>
      <c r="C26" s="82">
        <v>37.31</v>
      </c>
      <c r="D26" s="82">
        <v>76</v>
      </c>
      <c r="E26" s="82">
        <v>32.380000000000003</v>
      </c>
      <c r="F26" s="82">
        <v>59.5</v>
      </c>
      <c r="G26" s="82">
        <v>44.88</v>
      </c>
      <c r="H26" s="82">
        <v>32</v>
      </c>
      <c r="I26" s="82">
        <v>37.18</v>
      </c>
    </row>
    <row r="27" spans="1:20" ht="13.8">
      <c r="A27" s="26" t="s">
        <v>52</v>
      </c>
      <c r="B27" s="82">
        <v>25.27</v>
      </c>
      <c r="C27" s="82">
        <v>37.200000000000003</v>
      </c>
      <c r="D27" s="82">
        <v>74</v>
      </c>
      <c r="E27" s="82">
        <v>32.4</v>
      </c>
      <c r="F27" s="82">
        <v>62.1</v>
      </c>
      <c r="G27" s="82">
        <v>47.64</v>
      </c>
      <c r="H27" s="82">
        <v>35.5</v>
      </c>
      <c r="I27" s="82">
        <v>43.95</v>
      </c>
    </row>
    <row r="28" spans="1:20" ht="13.8">
      <c r="A28" s="26" t="s">
        <v>53</v>
      </c>
      <c r="B28" s="82">
        <v>26.61</v>
      </c>
      <c r="C28" s="82">
        <v>36.75</v>
      </c>
      <c r="D28" s="82">
        <v>56</v>
      </c>
      <c r="E28" s="82">
        <v>36.630000000000003</v>
      </c>
      <c r="F28" s="82">
        <v>84.75</v>
      </c>
      <c r="G28" s="82">
        <v>51.34</v>
      </c>
      <c r="H28" s="82">
        <v>36.5</v>
      </c>
      <c r="I28" s="82">
        <v>41.92</v>
      </c>
    </row>
    <row r="29" spans="1:20" ht="13.8">
      <c r="A29" s="26" t="s">
        <v>55</v>
      </c>
      <c r="B29" s="82">
        <v>28.71</v>
      </c>
      <c r="C29" s="82">
        <v>43</v>
      </c>
      <c r="D29" s="82">
        <v>56.4</v>
      </c>
      <c r="E29" s="82">
        <v>40.5</v>
      </c>
      <c r="F29" s="82">
        <v>85</v>
      </c>
      <c r="G29" s="82">
        <v>45.45</v>
      </c>
      <c r="H29" s="82" t="s">
        <v>10</v>
      </c>
      <c r="I29" s="82">
        <v>39.43</v>
      </c>
    </row>
    <row r="30" spans="1:20" ht="13.8">
      <c r="A30" s="26" t="s">
        <v>56</v>
      </c>
      <c r="B30" s="82">
        <v>32.130000000000003</v>
      </c>
      <c r="C30" s="82">
        <v>46.81</v>
      </c>
      <c r="D30" s="82">
        <v>57</v>
      </c>
      <c r="E30" s="82">
        <v>47.81</v>
      </c>
      <c r="F30" s="82">
        <v>90</v>
      </c>
      <c r="G30" s="82">
        <v>44.75</v>
      </c>
      <c r="H30" s="82">
        <v>39</v>
      </c>
      <c r="I30" s="82">
        <v>39.33</v>
      </c>
    </row>
    <row r="31" spans="1:20" ht="13.8">
      <c r="A31" s="26" t="s">
        <v>58</v>
      </c>
      <c r="B31" s="82">
        <v>34.200000000000003</v>
      </c>
      <c r="C31" s="82">
        <v>49.69</v>
      </c>
      <c r="D31" s="82">
        <v>57</v>
      </c>
      <c r="E31" s="82">
        <v>47.94</v>
      </c>
      <c r="F31" s="82">
        <v>90</v>
      </c>
      <c r="G31" s="82">
        <v>43.38</v>
      </c>
      <c r="H31" s="82" t="s">
        <v>10</v>
      </c>
      <c r="I31" s="82">
        <v>37</v>
      </c>
    </row>
    <row r="32" spans="1:20" ht="13.8">
      <c r="A32" s="26"/>
      <c r="B32" s="82"/>
      <c r="C32" s="82"/>
      <c r="D32" s="82"/>
      <c r="E32" s="82"/>
      <c r="F32" s="82"/>
      <c r="G32" s="82"/>
      <c r="H32" s="82"/>
      <c r="I32" s="82"/>
    </row>
    <row r="33" spans="1:9" ht="13.8">
      <c r="A33" s="135" t="s">
        <v>127</v>
      </c>
      <c r="B33" s="82"/>
      <c r="C33" s="82"/>
      <c r="D33" s="82"/>
      <c r="E33" s="82"/>
      <c r="F33" s="82"/>
      <c r="G33" s="82"/>
      <c r="H33" s="82"/>
      <c r="I33" s="82"/>
    </row>
    <row r="34" spans="1:9" ht="13.8">
      <c r="A34" s="26" t="s">
        <v>45</v>
      </c>
      <c r="B34" s="82">
        <v>33.92</v>
      </c>
      <c r="C34" s="82">
        <v>48.35</v>
      </c>
      <c r="D34" s="82">
        <v>57</v>
      </c>
      <c r="E34" s="82">
        <v>44.35</v>
      </c>
      <c r="F34" s="82">
        <v>93</v>
      </c>
      <c r="G34" s="82">
        <v>43.15</v>
      </c>
      <c r="H34" s="82" t="s">
        <v>10</v>
      </c>
      <c r="I34" s="82">
        <v>35.57</v>
      </c>
    </row>
    <row r="35" spans="1:9" ht="13.8">
      <c r="A35" s="26" t="s">
        <v>46</v>
      </c>
      <c r="B35" s="82">
        <v>37.79</v>
      </c>
      <c r="C35" s="82">
        <v>54.44</v>
      </c>
      <c r="D35" s="82" t="s">
        <v>10</v>
      </c>
      <c r="E35" s="82">
        <v>49.5</v>
      </c>
      <c r="F35" s="82">
        <v>98.75</v>
      </c>
      <c r="G35" s="82">
        <v>42.53</v>
      </c>
      <c r="H35" s="82">
        <v>41</v>
      </c>
      <c r="I35" s="82">
        <v>33.5</v>
      </c>
    </row>
    <row r="36" spans="1:9" ht="13.8">
      <c r="A36" s="26" t="s">
        <v>47</v>
      </c>
      <c r="B36" s="82">
        <v>40.85</v>
      </c>
      <c r="C36" s="82">
        <v>59.2</v>
      </c>
      <c r="D36" s="82" t="s">
        <v>10</v>
      </c>
      <c r="E36" s="82">
        <v>51.65</v>
      </c>
      <c r="F36" s="82">
        <v>100</v>
      </c>
      <c r="G36" s="82">
        <v>41.48</v>
      </c>
      <c r="H36" s="82">
        <v>41</v>
      </c>
      <c r="I36" s="82">
        <v>36.380000000000003</v>
      </c>
    </row>
    <row r="37" spans="1:9" ht="13.8">
      <c r="A37" s="26" t="s">
        <v>48</v>
      </c>
      <c r="B37" s="82">
        <v>44.31</v>
      </c>
      <c r="C37" s="82">
        <v>63.19</v>
      </c>
      <c r="D37" s="82" t="s">
        <v>10</v>
      </c>
      <c r="E37" s="82">
        <v>53.31</v>
      </c>
      <c r="F37" s="82">
        <v>90</v>
      </c>
      <c r="G37" s="82">
        <v>44.23</v>
      </c>
      <c r="H37" s="82" t="s">
        <v>10</v>
      </c>
      <c r="I37" s="82">
        <v>47.02</v>
      </c>
    </row>
    <row r="38" spans="1:9" ht="13.8">
      <c r="A38" s="26" t="s">
        <v>49</v>
      </c>
      <c r="B38" s="82">
        <v>49.16</v>
      </c>
      <c r="C38" s="82">
        <v>75.5</v>
      </c>
      <c r="D38" s="82" t="s">
        <v>10</v>
      </c>
      <c r="E38" s="82">
        <v>59</v>
      </c>
      <c r="F38" s="82">
        <v>92</v>
      </c>
      <c r="G38" s="82">
        <v>44.64</v>
      </c>
      <c r="H38" s="82">
        <v>51</v>
      </c>
      <c r="I38" s="82">
        <v>54.5</v>
      </c>
    </row>
    <row r="39" spans="1:9" ht="13.8">
      <c r="A39" s="26" t="s">
        <v>50</v>
      </c>
      <c r="B39" s="82">
        <v>59.25</v>
      </c>
      <c r="C39" s="62">
        <v>86.75</v>
      </c>
      <c r="D39" s="82" t="s">
        <v>10</v>
      </c>
      <c r="E39" s="82">
        <v>72.75</v>
      </c>
      <c r="F39" s="82">
        <v>110</v>
      </c>
      <c r="G39" s="82">
        <v>54</v>
      </c>
      <c r="H39" s="82">
        <v>56.5</v>
      </c>
      <c r="I39" s="82">
        <v>57</v>
      </c>
    </row>
    <row r="40" spans="1:9" ht="13.8">
      <c r="A40" s="26" t="s">
        <v>51</v>
      </c>
      <c r="B40" s="82">
        <v>62.88</v>
      </c>
      <c r="C40" s="102">
        <v>91.625</v>
      </c>
      <c r="D40" s="82">
        <v>83</v>
      </c>
      <c r="E40" s="82">
        <v>81.625</v>
      </c>
      <c r="F40" s="82">
        <v>108.67</v>
      </c>
      <c r="G40" s="82">
        <v>78</v>
      </c>
      <c r="H40" s="82">
        <v>55.5</v>
      </c>
      <c r="I40" s="82">
        <v>58.75</v>
      </c>
    </row>
    <row r="41" spans="1:9" ht="13.8">
      <c r="A41" s="26" t="s">
        <v>52</v>
      </c>
      <c r="B41" s="150">
        <v>74.75</v>
      </c>
      <c r="C41" s="102">
        <v>101.0625</v>
      </c>
      <c r="D41" s="150">
        <v>83</v>
      </c>
      <c r="E41" s="150">
        <v>93.0625</v>
      </c>
      <c r="F41" s="150">
        <v>110</v>
      </c>
      <c r="G41" s="150">
        <v>82.25</v>
      </c>
      <c r="H41" s="150">
        <v>63.25</v>
      </c>
      <c r="I41" s="150">
        <v>63.75</v>
      </c>
    </row>
    <row r="42" spans="1:9" ht="13.8">
      <c r="A42" s="22" t="s">
        <v>53</v>
      </c>
      <c r="B42" s="161">
        <v>72.125</v>
      </c>
      <c r="C42" s="142">
        <v>100.688</v>
      </c>
      <c r="D42" s="88" t="s">
        <v>10</v>
      </c>
      <c r="E42" s="88">
        <v>93.5</v>
      </c>
      <c r="F42" s="88">
        <v>108.188</v>
      </c>
      <c r="G42" s="88">
        <v>85.25</v>
      </c>
      <c r="H42" s="88">
        <v>68</v>
      </c>
      <c r="I42" s="88">
        <v>67.9375</v>
      </c>
    </row>
    <row r="43" spans="1:9" ht="16.2">
      <c r="A43" s="61" t="s">
        <v>173</v>
      </c>
      <c r="B43" s="95"/>
      <c r="C43" s="95"/>
      <c r="D43" s="95"/>
      <c r="E43" s="95"/>
      <c r="F43" s="95"/>
      <c r="G43" s="95"/>
      <c r="H43" s="95"/>
      <c r="I43" s="95"/>
    </row>
    <row r="44" spans="1:9" ht="16.2">
      <c r="A44" s="23" t="s">
        <v>149</v>
      </c>
      <c r="B44" s="95"/>
      <c r="C44" s="95"/>
      <c r="D44" s="95"/>
      <c r="E44" s="95"/>
      <c r="F44" s="95"/>
      <c r="G44" s="95"/>
      <c r="H44" s="95"/>
      <c r="I44" s="95"/>
    </row>
    <row r="45" spans="1:9" ht="14.4">
      <c r="A45" s="23" t="s">
        <v>163</v>
      </c>
      <c r="B45" s="23"/>
      <c r="C45" s="23"/>
      <c r="D45" s="23"/>
      <c r="E45" s="23"/>
      <c r="F45" s="95"/>
      <c r="G45" s="23"/>
      <c r="H45" s="23"/>
      <c r="I45" s="23"/>
    </row>
    <row r="46" spans="1:9" ht="13.8">
      <c r="A46" s="27" t="s">
        <v>18</v>
      </c>
      <c r="B46" s="53">
        <f ca="1">NOW()</f>
        <v>44391.598262037034</v>
      </c>
      <c r="C46" s="23"/>
      <c r="D46" s="23"/>
      <c r="E46" s="23"/>
      <c r="F46" s="23"/>
      <c r="G46" s="23"/>
      <c r="H46" s="23"/>
      <c r="I46" s="23"/>
    </row>
    <row r="47" spans="1:9" ht="15.6">
      <c r="C47" s="12"/>
      <c r="G47" s="12"/>
      <c r="H47" s="12"/>
      <c r="I47" s="12"/>
    </row>
    <row r="48" spans="1:9" ht="15.6">
      <c r="C48" s="12"/>
      <c r="G48" s="12"/>
      <c r="H48" s="12"/>
      <c r="I48" s="12"/>
    </row>
    <row r="49" spans="3:9" ht="15.6">
      <c r="C49" s="12"/>
      <c r="G49" s="12"/>
      <c r="H49" s="12"/>
      <c r="I49" s="12"/>
    </row>
    <row r="50" spans="3:9" ht="15.6">
      <c r="C50" s="12"/>
      <c r="G50" s="12"/>
      <c r="H50" s="12"/>
      <c r="I50" s="12"/>
    </row>
    <row r="51" spans="3:9" ht="15.6">
      <c r="C51" s="12"/>
      <c r="G51" s="12"/>
      <c r="H51" s="12"/>
      <c r="I51" s="12"/>
    </row>
    <row r="52" spans="3:9" ht="15.6">
      <c r="C52" s="12"/>
      <c r="G52" s="12"/>
      <c r="H52" s="12"/>
      <c r="I52" s="12"/>
    </row>
    <row r="53" spans="3:9" ht="15.6">
      <c r="C53" s="12"/>
      <c r="G53" s="12"/>
      <c r="H53" s="12"/>
      <c r="I53" s="12"/>
    </row>
    <row r="54" spans="3:9" ht="15.6">
      <c r="C54" s="12"/>
      <c r="G54" s="12"/>
      <c r="H54" s="12"/>
      <c r="I54" s="12"/>
    </row>
    <row r="55" spans="3:9" ht="15.6">
      <c r="C55" s="12"/>
      <c r="G55" s="12"/>
      <c r="H55" s="12"/>
      <c r="I55" s="12"/>
    </row>
    <row r="56" spans="3:9" ht="15.6">
      <c r="C56" s="12"/>
      <c r="G56" s="12"/>
      <c r="H56" s="12"/>
      <c r="I56" s="12"/>
    </row>
    <row r="57" spans="3:9" ht="15.6">
      <c r="C57" s="12"/>
      <c r="G57" s="12"/>
      <c r="H57" s="12"/>
      <c r="I57" s="12"/>
    </row>
    <row r="58" spans="3:9" ht="15.6">
      <c r="C58" s="12"/>
      <c r="G58" s="12"/>
      <c r="H58" s="12"/>
      <c r="I58" s="12"/>
    </row>
    <row r="59" spans="3:9" ht="15.6">
      <c r="C59" s="12"/>
      <c r="G59" s="12"/>
      <c r="H59" s="12"/>
      <c r="I59" s="12"/>
    </row>
    <row r="60" spans="3:9" ht="15.6">
      <c r="C60" s="12"/>
      <c r="G60" s="12"/>
      <c r="H60" s="12"/>
      <c r="I60" s="12"/>
    </row>
    <row r="61" spans="3:9" ht="15.6">
      <c r="C61" s="12"/>
      <c r="G61" s="12"/>
      <c r="H61" s="12"/>
      <c r="I61" s="12"/>
    </row>
    <row r="62" spans="3:9" ht="15.6">
      <c r="C62" s="12"/>
      <c r="G62" s="12"/>
      <c r="H62" s="12"/>
      <c r="I62" s="12"/>
    </row>
    <row r="63" spans="3:9" ht="15.6">
      <c r="C63" s="12"/>
      <c r="H63" s="12"/>
      <c r="I63" s="12"/>
    </row>
    <row r="64" spans="3:9" ht="15.6">
      <c r="C64" s="12"/>
      <c r="H64" s="12"/>
      <c r="I64" s="12"/>
    </row>
    <row r="65" spans="3:9" ht="15.6">
      <c r="C65" s="12"/>
      <c r="F65" s="14"/>
      <c r="H65" s="12"/>
      <c r="I65" s="12"/>
    </row>
    <row r="66" spans="3:9" ht="15.6">
      <c r="F66" s="14"/>
      <c r="H66" s="12"/>
      <c r="I66" s="12"/>
    </row>
  </sheetData>
  <phoneticPr fontId="9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58"/>
  <sheetViews>
    <sheetView showGridLines="0" zoomScaleNormal="100" workbookViewId="0">
      <selection activeCell="F18" sqref="F18"/>
    </sheetView>
  </sheetViews>
  <sheetFormatPr defaultRowHeight="13.2"/>
  <cols>
    <col min="1" max="1" width="11.77734375" customWidth="1"/>
    <col min="2" max="7" width="13.77734375" customWidth="1"/>
    <col min="8" max="8" width="10.109375" bestFit="1" customWidth="1"/>
    <col min="10" max="10" width="20.21875" bestFit="1" customWidth="1"/>
    <col min="14" max="14" width="8.88671875" customWidth="1"/>
    <col min="15" max="15" width="18" bestFit="1" customWidth="1"/>
  </cols>
  <sheetData>
    <row r="1" spans="1:31" ht="13.8">
      <c r="A1" s="22" t="s">
        <v>146</v>
      </c>
      <c r="B1" s="22"/>
      <c r="C1" s="22"/>
      <c r="D1" s="22"/>
      <c r="E1" s="22"/>
      <c r="F1" s="22"/>
      <c r="G1" s="22"/>
    </row>
    <row r="2" spans="1:31" ht="15.6" customHeight="1">
      <c r="A2" s="26" t="s">
        <v>11</v>
      </c>
      <c r="B2" s="62" t="s">
        <v>35</v>
      </c>
      <c r="C2" s="96" t="s">
        <v>13</v>
      </c>
      <c r="D2" s="96" t="s">
        <v>68</v>
      </c>
      <c r="E2" s="96" t="s">
        <v>36</v>
      </c>
      <c r="F2" s="62" t="s">
        <v>37</v>
      </c>
      <c r="G2" s="25" t="s">
        <v>38</v>
      </c>
      <c r="AE2" s="145"/>
    </row>
    <row r="3" spans="1:31" ht="15.6" customHeight="1">
      <c r="A3" s="22" t="s">
        <v>12</v>
      </c>
      <c r="B3" s="30" t="s">
        <v>111</v>
      </c>
      <c r="C3" s="30" t="s">
        <v>112</v>
      </c>
      <c r="D3" s="30" t="s">
        <v>113</v>
      </c>
      <c r="E3" s="30" t="s">
        <v>114</v>
      </c>
      <c r="F3" s="30" t="s">
        <v>115</v>
      </c>
      <c r="G3" s="30" t="s">
        <v>116</v>
      </c>
      <c r="AE3" s="145"/>
    </row>
    <row r="4" spans="1:31" ht="14.4">
      <c r="A4" s="23"/>
      <c r="B4" s="42" t="s">
        <v>137</v>
      </c>
      <c r="C4" s="93"/>
      <c r="D4" s="93"/>
      <c r="E4" s="93"/>
      <c r="F4" s="93"/>
      <c r="G4" s="93"/>
      <c r="AE4" s="145"/>
    </row>
    <row r="5" spans="1:31" ht="13.8">
      <c r="A5" s="23"/>
      <c r="B5" s="23"/>
      <c r="C5" s="23"/>
      <c r="D5" s="23"/>
      <c r="E5" s="23"/>
      <c r="F5" s="23"/>
      <c r="G5" s="23"/>
      <c r="AE5" s="145"/>
    </row>
    <row r="6" spans="1:31" ht="13.8">
      <c r="A6" s="23" t="s">
        <v>43</v>
      </c>
      <c r="B6" s="82">
        <v>345.52</v>
      </c>
      <c r="C6" s="82">
        <v>273.83999999999997</v>
      </c>
      <c r="D6" s="82">
        <v>219.72</v>
      </c>
      <c r="E6" s="97" t="s">
        <v>10</v>
      </c>
      <c r="F6" s="82">
        <v>263.63</v>
      </c>
      <c r="G6" s="82">
        <v>240.65</v>
      </c>
      <c r="AE6" s="145"/>
    </row>
    <row r="7" spans="1:31" ht="13.8">
      <c r="A7" s="23" t="s">
        <v>54</v>
      </c>
      <c r="B7" s="82">
        <v>393.53</v>
      </c>
      <c r="C7" s="82">
        <v>275.13</v>
      </c>
      <c r="D7" s="82">
        <v>246.75</v>
      </c>
      <c r="E7" s="97" t="s">
        <v>10</v>
      </c>
      <c r="F7" s="82">
        <v>307.58999999999997</v>
      </c>
      <c r="G7" s="82">
        <v>265.68</v>
      </c>
      <c r="AE7" s="145"/>
    </row>
    <row r="8" spans="1:31" ht="13.8">
      <c r="A8" s="23" t="s">
        <v>69</v>
      </c>
      <c r="B8" s="82">
        <v>468.11</v>
      </c>
      <c r="C8" s="82">
        <v>331.52</v>
      </c>
      <c r="D8" s="82">
        <v>241.57</v>
      </c>
      <c r="E8" s="97" t="s">
        <v>10</v>
      </c>
      <c r="F8" s="82">
        <v>354.22</v>
      </c>
      <c r="G8" s="82">
        <v>329.31</v>
      </c>
      <c r="AE8" s="145"/>
    </row>
    <row r="9" spans="1:31" ht="13.8">
      <c r="A9" s="23" t="s">
        <v>75</v>
      </c>
      <c r="B9" s="82">
        <v>489.94</v>
      </c>
      <c r="C9" s="82">
        <v>377.71</v>
      </c>
      <c r="D9" s="82">
        <v>238.87</v>
      </c>
      <c r="E9" s="97" t="s">
        <v>10</v>
      </c>
      <c r="F9" s="82">
        <v>359.7</v>
      </c>
      <c r="G9" s="82">
        <v>337.23</v>
      </c>
      <c r="AE9" s="145"/>
    </row>
    <row r="10" spans="1:31" ht="13.8">
      <c r="A10" s="23" t="s">
        <v>77</v>
      </c>
      <c r="B10" s="82">
        <v>368.49</v>
      </c>
      <c r="C10" s="82">
        <v>304.27</v>
      </c>
      <c r="D10" s="82">
        <v>209.97</v>
      </c>
      <c r="E10" s="97" t="s">
        <v>10</v>
      </c>
      <c r="F10" s="82">
        <v>301.2</v>
      </c>
      <c r="G10" s="82">
        <v>256.58</v>
      </c>
      <c r="AE10" s="145"/>
    </row>
    <row r="11" spans="1:31" ht="13.8">
      <c r="A11" s="23" t="s">
        <v>78</v>
      </c>
      <c r="B11" s="82">
        <v>324.56</v>
      </c>
      <c r="C11" s="82">
        <v>261.19</v>
      </c>
      <c r="D11" s="82">
        <v>153.16999999999999</v>
      </c>
      <c r="E11" s="97" t="s">
        <v>10</v>
      </c>
      <c r="F11" s="82">
        <v>262.2</v>
      </c>
      <c r="G11" s="82">
        <v>260.23</v>
      </c>
      <c r="AE11" s="145"/>
    </row>
    <row r="12" spans="1:31" ht="13.8">
      <c r="A12" s="23" t="s">
        <v>90</v>
      </c>
      <c r="B12" s="82">
        <v>316.88</v>
      </c>
      <c r="C12" s="82">
        <v>208.61</v>
      </c>
      <c r="D12" s="82">
        <v>145.1</v>
      </c>
      <c r="E12" s="97" t="s">
        <v>10</v>
      </c>
      <c r="F12" s="82">
        <v>267.94</v>
      </c>
      <c r="G12" s="82">
        <v>282.49</v>
      </c>
      <c r="AE12" s="145"/>
    </row>
    <row r="13" spans="1:31" ht="13.8">
      <c r="A13" s="23" t="s">
        <v>92</v>
      </c>
      <c r="B13" s="82">
        <v>345.02</v>
      </c>
      <c r="C13" s="82">
        <v>260.88</v>
      </c>
      <c r="D13" s="82">
        <v>173.53</v>
      </c>
      <c r="E13" s="97" t="s">
        <v>10</v>
      </c>
      <c r="F13" s="82">
        <v>291.14999999999998</v>
      </c>
      <c r="G13" s="82">
        <v>239.15</v>
      </c>
    </row>
    <row r="14" spans="1:31" ht="13.8">
      <c r="A14" s="23" t="s">
        <v>117</v>
      </c>
      <c r="B14" s="82">
        <v>308.27999999999997</v>
      </c>
      <c r="C14" s="82">
        <v>228.64</v>
      </c>
      <c r="D14" s="102">
        <v>164.16</v>
      </c>
      <c r="E14" s="97" t="s">
        <v>10</v>
      </c>
      <c r="F14" s="82">
        <v>272.38</v>
      </c>
      <c r="G14" s="82">
        <v>225.77</v>
      </c>
    </row>
    <row r="15" spans="1:31" ht="13.8">
      <c r="A15" s="23" t="s">
        <v>119</v>
      </c>
      <c r="B15" s="82">
        <v>299.5</v>
      </c>
      <c r="C15" s="82">
        <v>247.04</v>
      </c>
      <c r="D15" s="102">
        <v>187.7</v>
      </c>
      <c r="E15" s="97" t="s">
        <v>10</v>
      </c>
      <c r="F15" s="82">
        <v>273.99</v>
      </c>
      <c r="G15" s="82">
        <v>245.88</v>
      </c>
    </row>
    <row r="16" spans="1:31" ht="16.2">
      <c r="A16" s="23" t="s">
        <v>122</v>
      </c>
      <c r="B16" s="82">
        <v>395</v>
      </c>
      <c r="C16" s="82">
        <v>380</v>
      </c>
      <c r="D16" s="102">
        <v>255</v>
      </c>
      <c r="E16" s="97" t="s">
        <v>10</v>
      </c>
      <c r="F16" s="82">
        <v>360</v>
      </c>
      <c r="G16" s="82">
        <v>295</v>
      </c>
    </row>
    <row r="17" spans="1:16" ht="16.2">
      <c r="A17" s="23" t="s">
        <v>154</v>
      </c>
      <c r="B17" s="82">
        <v>395</v>
      </c>
      <c r="C17" s="82">
        <v>345</v>
      </c>
      <c r="D17" s="102">
        <v>240</v>
      </c>
      <c r="E17" s="97" t="s">
        <v>10</v>
      </c>
      <c r="F17" s="82">
        <v>345</v>
      </c>
      <c r="G17" s="82">
        <v>295</v>
      </c>
    </row>
    <row r="18" spans="1:16" ht="13.8">
      <c r="A18" s="98"/>
      <c r="B18" s="82"/>
      <c r="C18" s="82"/>
      <c r="D18" s="82"/>
      <c r="E18" s="97"/>
      <c r="F18" s="82"/>
      <c r="G18" s="82"/>
      <c r="H18" s="11"/>
    </row>
    <row r="19" spans="1:16" ht="13.8">
      <c r="A19" s="135" t="s">
        <v>119</v>
      </c>
      <c r="B19" s="82"/>
      <c r="C19" s="82"/>
      <c r="D19" s="82"/>
      <c r="E19" s="97"/>
      <c r="F19" s="82"/>
      <c r="G19" s="82"/>
      <c r="I19" s="5"/>
      <c r="M19" s="5"/>
    </row>
    <row r="20" spans="1:16" ht="13.8">
      <c r="A20" s="23" t="s">
        <v>45</v>
      </c>
      <c r="B20" s="82">
        <v>309.48</v>
      </c>
      <c r="C20" s="82">
        <v>213.13</v>
      </c>
      <c r="D20" s="82">
        <v>169</v>
      </c>
      <c r="E20" s="97" t="s">
        <v>10</v>
      </c>
      <c r="F20" s="82">
        <v>267.89999999999998</v>
      </c>
      <c r="G20" s="82">
        <v>226.5</v>
      </c>
      <c r="I20" s="5"/>
      <c r="J20" s="5"/>
      <c r="K20" s="5"/>
      <c r="L20" s="5"/>
      <c r="M20" s="5"/>
    </row>
    <row r="21" spans="1:16" ht="13.8">
      <c r="A21" s="23" t="s">
        <v>46</v>
      </c>
      <c r="B21" s="82">
        <v>303.13</v>
      </c>
      <c r="C21" s="82">
        <v>233.75</v>
      </c>
      <c r="D21" s="82">
        <v>166.88</v>
      </c>
      <c r="E21" s="97" t="s">
        <v>10</v>
      </c>
      <c r="F21" s="82" t="s">
        <v>10</v>
      </c>
      <c r="G21" s="82">
        <v>226.88</v>
      </c>
      <c r="I21" s="5"/>
      <c r="J21" s="5"/>
      <c r="K21" s="5"/>
      <c r="L21" s="5"/>
      <c r="M21" s="5"/>
    </row>
    <row r="22" spans="1:16" ht="13.8">
      <c r="A22" s="23" t="s">
        <v>47</v>
      </c>
      <c r="B22" s="82">
        <v>299.58999999999997</v>
      </c>
      <c r="C22" s="82">
        <v>250.83</v>
      </c>
      <c r="D22" s="82">
        <v>180</v>
      </c>
      <c r="E22" s="97" t="s">
        <v>10</v>
      </c>
      <c r="F22" s="82" t="s">
        <v>10</v>
      </c>
      <c r="G22" s="82">
        <f>(235+227.5+232.5)/3</f>
        <v>231.66666666666666</v>
      </c>
      <c r="I22" s="5"/>
      <c r="J22" s="5"/>
      <c r="K22" s="5"/>
      <c r="L22" s="5"/>
      <c r="M22" s="5"/>
    </row>
    <row r="23" spans="1:16" ht="13.8">
      <c r="A23" s="23" t="s">
        <v>48</v>
      </c>
      <c r="B23" s="82">
        <v>300.11</v>
      </c>
      <c r="C23" s="82">
        <v>239.38</v>
      </c>
      <c r="D23" s="82">
        <v>185</v>
      </c>
      <c r="E23" s="97" t="s">
        <v>10</v>
      </c>
      <c r="F23" s="82" t="s">
        <v>10</v>
      </c>
      <c r="G23" s="82">
        <v>248.13</v>
      </c>
      <c r="I23" s="5"/>
      <c r="J23" s="5"/>
      <c r="K23" s="5"/>
      <c r="L23" s="5"/>
      <c r="M23" s="5"/>
    </row>
    <row r="24" spans="1:16" ht="13.8">
      <c r="A24" s="23" t="s">
        <v>49</v>
      </c>
      <c r="B24" s="82">
        <v>295.27999999999997</v>
      </c>
      <c r="C24" s="82">
        <v>250.63</v>
      </c>
      <c r="D24" s="82">
        <v>188.13</v>
      </c>
      <c r="E24" s="97" t="s">
        <v>10</v>
      </c>
      <c r="F24" s="82">
        <v>253.67</v>
      </c>
      <c r="G24" s="82">
        <v>262.5</v>
      </c>
      <c r="I24" s="5"/>
      <c r="J24" s="5"/>
      <c r="K24" s="143"/>
    </row>
    <row r="25" spans="1:16" ht="13.8">
      <c r="A25" s="23" t="s">
        <v>50</v>
      </c>
      <c r="B25" s="82">
        <v>312.38</v>
      </c>
      <c r="C25" s="82">
        <v>259</v>
      </c>
      <c r="D25" s="82">
        <v>180</v>
      </c>
      <c r="E25" s="97" t="s">
        <v>10</v>
      </c>
      <c r="F25" s="82">
        <v>274.75</v>
      </c>
      <c r="G25" s="82">
        <v>263</v>
      </c>
      <c r="I25" s="5"/>
      <c r="J25" s="5"/>
      <c r="K25" s="123"/>
      <c r="M25" s="123"/>
      <c r="N25" s="123"/>
    </row>
    <row r="26" spans="1:16" ht="13.8">
      <c r="A26" s="23" t="s">
        <v>51</v>
      </c>
      <c r="B26" s="82">
        <v>295.39999999999998</v>
      </c>
      <c r="C26" s="82">
        <v>281.88</v>
      </c>
      <c r="D26" s="82">
        <v>183.75</v>
      </c>
      <c r="E26" s="97" t="s">
        <v>10</v>
      </c>
      <c r="F26" s="82">
        <v>274.52999999999997</v>
      </c>
      <c r="G26" s="82">
        <v>260</v>
      </c>
      <c r="I26" s="5"/>
      <c r="J26" s="5"/>
      <c r="K26" s="5"/>
      <c r="L26" s="5"/>
      <c r="M26" s="5"/>
    </row>
    <row r="27" spans="1:16" ht="13.8">
      <c r="A27" s="23" t="s">
        <v>52</v>
      </c>
      <c r="B27" s="82">
        <v>288.56</v>
      </c>
      <c r="C27" s="82">
        <v>251.88</v>
      </c>
      <c r="D27" s="82">
        <v>180.63</v>
      </c>
      <c r="E27" s="97" t="s">
        <v>10</v>
      </c>
      <c r="F27" s="82">
        <v>276.25</v>
      </c>
      <c r="G27" s="82">
        <v>257.5</v>
      </c>
      <c r="I27" s="5"/>
      <c r="J27" s="5"/>
      <c r="K27" s="5"/>
      <c r="L27" s="123"/>
      <c r="M27" s="5"/>
      <c r="N27" s="123"/>
      <c r="O27" s="123"/>
    </row>
    <row r="28" spans="1:16" ht="13.8">
      <c r="A28" s="23" t="s">
        <v>53</v>
      </c>
      <c r="B28" s="82">
        <v>288.66000000000003</v>
      </c>
      <c r="C28" s="82">
        <v>245.5</v>
      </c>
      <c r="D28" s="82">
        <v>187.5</v>
      </c>
      <c r="E28" s="97" t="s">
        <v>10</v>
      </c>
      <c r="F28" s="82">
        <v>270.02999999999997</v>
      </c>
      <c r="G28" s="82">
        <v>245.63</v>
      </c>
      <c r="I28" s="5"/>
      <c r="J28" s="5"/>
      <c r="K28" s="5"/>
    </row>
    <row r="29" spans="1:16" ht="13.8">
      <c r="A29" s="23" t="s">
        <v>55</v>
      </c>
      <c r="B29" s="82">
        <v>291.25</v>
      </c>
      <c r="C29" s="82">
        <v>245</v>
      </c>
      <c r="D29" s="82">
        <v>202.5</v>
      </c>
      <c r="E29" s="97" t="s">
        <v>10</v>
      </c>
      <c r="F29" s="82">
        <v>271.11</v>
      </c>
      <c r="G29" s="82">
        <v>250</v>
      </c>
      <c r="I29" s="5"/>
      <c r="J29" s="5"/>
      <c r="K29" s="5"/>
    </row>
    <row r="30" spans="1:16" ht="13.8">
      <c r="A30" s="23" t="s">
        <v>56</v>
      </c>
      <c r="B30" s="82">
        <v>290.18</v>
      </c>
      <c r="C30" s="82">
        <v>245</v>
      </c>
      <c r="D30" s="82">
        <v>217.5</v>
      </c>
      <c r="E30" s="97" t="s">
        <v>10</v>
      </c>
      <c r="F30" s="82">
        <v>281.08999999999997</v>
      </c>
      <c r="G30" s="82">
        <v>251.75</v>
      </c>
      <c r="I30" s="5"/>
      <c r="J30" s="123"/>
      <c r="K30" s="5"/>
      <c r="L30" s="123"/>
      <c r="M30" s="5"/>
    </row>
    <row r="31" spans="1:16" ht="13.8">
      <c r="A31" s="23" t="s">
        <v>58</v>
      </c>
      <c r="B31" s="82">
        <v>319.99</v>
      </c>
      <c r="C31" s="82">
        <v>248.5</v>
      </c>
      <c r="D31" s="82">
        <v>211.5</v>
      </c>
      <c r="E31" s="97" t="s">
        <v>10</v>
      </c>
      <c r="F31" s="82">
        <v>296.60000000000002</v>
      </c>
      <c r="G31" s="82">
        <v>227</v>
      </c>
      <c r="I31" s="5"/>
      <c r="J31" s="5"/>
      <c r="K31" s="143"/>
      <c r="P31" s="123"/>
    </row>
    <row r="32" spans="1:16" ht="13.8">
      <c r="A32" s="26"/>
      <c r="B32" s="82"/>
      <c r="C32" s="82"/>
      <c r="D32" s="82"/>
      <c r="E32" s="97"/>
      <c r="F32" s="82"/>
      <c r="G32" s="82"/>
      <c r="I32" s="5"/>
      <c r="J32" s="123"/>
      <c r="K32" s="123"/>
      <c r="L32" s="5"/>
      <c r="M32" s="123"/>
      <c r="N32" s="123"/>
      <c r="O32" s="123"/>
      <c r="P32" s="123"/>
    </row>
    <row r="33" spans="1:16" ht="13.8">
      <c r="A33" s="135" t="s">
        <v>127</v>
      </c>
      <c r="B33" s="82"/>
      <c r="C33" s="82"/>
      <c r="D33" s="82"/>
      <c r="E33" s="97"/>
      <c r="F33" s="82"/>
      <c r="G33" s="82"/>
      <c r="I33" s="143"/>
      <c r="J33" s="123"/>
      <c r="K33" s="123"/>
      <c r="L33" s="5"/>
      <c r="M33" s="5"/>
      <c r="P33" s="123"/>
    </row>
    <row r="34" spans="1:16" ht="13.8">
      <c r="A34" s="23" t="s">
        <v>45</v>
      </c>
      <c r="B34" s="82">
        <v>366.62</v>
      </c>
      <c r="C34" s="82">
        <v>301.88</v>
      </c>
      <c r="D34" s="82">
        <v>211.25</v>
      </c>
      <c r="E34" s="97" t="s">
        <v>10</v>
      </c>
      <c r="F34" s="82">
        <v>327.24</v>
      </c>
      <c r="G34" s="82">
        <v>239.375</v>
      </c>
      <c r="H34" s="144"/>
      <c r="I34" s="5"/>
      <c r="J34" s="123"/>
      <c r="K34" s="123"/>
      <c r="L34" s="5"/>
      <c r="M34" s="5"/>
      <c r="P34" s="123"/>
    </row>
    <row r="35" spans="1:16" ht="13.8">
      <c r="A35" s="23" t="s">
        <v>46</v>
      </c>
      <c r="B35" s="82">
        <v>387.83</v>
      </c>
      <c r="C35" s="82">
        <v>365.63</v>
      </c>
      <c r="D35" s="82">
        <v>213.13</v>
      </c>
      <c r="E35" s="97" t="s">
        <v>10</v>
      </c>
      <c r="F35" s="82">
        <v>297.64999999999998</v>
      </c>
      <c r="G35" s="82">
        <v>255</v>
      </c>
      <c r="H35" s="144"/>
      <c r="I35" s="5"/>
      <c r="J35" s="23"/>
      <c r="K35" s="123"/>
      <c r="L35" s="5"/>
      <c r="M35" s="5"/>
    </row>
    <row r="36" spans="1:16" ht="13.8">
      <c r="A36" s="23" t="s">
        <v>47</v>
      </c>
      <c r="B36" s="82">
        <v>396.68</v>
      </c>
      <c r="C36" s="82">
        <v>425</v>
      </c>
      <c r="D36" s="82">
        <v>252.5</v>
      </c>
      <c r="E36" s="97" t="s">
        <v>10</v>
      </c>
      <c r="F36" s="82">
        <v>296.2</v>
      </c>
      <c r="G36" s="82">
        <v>275</v>
      </c>
      <c r="H36" s="144"/>
      <c r="I36" s="5"/>
      <c r="J36" s="23"/>
      <c r="K36" s="123"/>
      <c r="L36" s="5"/>
    </row>
    <row r="37" spans="1:16" ht="13.8">
      <c r="A37" s="26" t="s">
        <v>48</v>
      </c>
      <c r="B37" s="82">
        <v>439.24</v>
      </c>
      <c r="C37" s="82">
        <v>443.75</v>
      </c>
      <c r="D37" s="82">
        <v>280.63</v>
      </c>
      <c r="E37" s="97" t="s">
        <v>10</v>
      </c>
      <c r="F37" s="82">
        <v>387.43</v>
      </c>
      <c r="G37" s="82">
        <v>313.125</v>
      </c>
      <c r="I37" s="5"/>
      <c r="J37" s="123"/>
      <c r="K37" s="123"/>
      <c r="L37" s="123"/>
      <c r="M37" s="123"/>
      <c r="N37" s="123"/>
    </row>
    <row r="38" spans="1:16" ht="14.4">
      <c r="A38" s="26" t="s">
        <v>49</v>
      </c>
      <c r="B38" s="82">
        <v>427.28</v>
      </c>
      <c r="C38" s="82">
        <v>460</v>
      </c>
      <c r="D38" s="82">
        <v>298.75</v>
      </c>
      <c r="E38" s="97" t="s">
        <v>10</v>
      </c>
      <c r="F38" s="82">
        <v>376.07499999999999</v>
      </c>
      <c r="G38" s="82">
        <v>296.25</v>
      </c>
      <c r="I38" s="5"/>
      <c r="J38" s="146"/>
      <c r="K38" s="123"/>
      <c r="L38" s="5"/>
      <c r="M38" s="5"/>
      <c r="O38" s="123"/>
    </row>
    <row r="39" spans="1:16" ht="13.8">
      <c r="A39" s="26" t="s">
        <v>50</v>
      </c>
      <c r="B39" s="82">
        <v>410.02</v>
      </c>
      <c r="C39" s="82">
        <v>456</v>
      </c>
      <c r="D39" s="82">
        <v>278.5</v>
      </c>
      <c r="E39" s="97" t="s">
        <v>10</v>
      </c>
      <c r="F39" s="82">
        <v>365.14</v>
      </c>
      <c r="G39" s="82">
        <v>322</v>
      </c>
      <c r="I39" s="5"/>
      <c r="J39" s="26"/>
      <c r="K39" s="5"/>
      <c r="L39" s="5"/>
      <c r="M39" s="5"/>
      <c r="O39" s="123"/>
    </row>
    <row r="40" spans="1:16" ht="13.8">
      <c r="A40" s="26" t="s">
        <v>51</v>
      </c>
      <c r="B40" s="82">
        <v>413.36</v>
      </c>
      <c r="C40" s="82">
        <v>415</v>
      </c>
      <c r="D40" s="82">
        <v>258.125</v>
      </c>
      <c r="E40" s="97" t="s">
        <v>10</v>
      </c>
      <c r="F40" s="82">
        <v>377.57499999999999</v>
      </c>
      <c r="G40" s="82">
        <v>318.75</v>
      </c>
      <c r="I40" s="135"/>
      <c r="J40" s="26"/>
      <c r="K40" s="5"/>
      <c r="L40" s="5"/>
      <c r="M40" s="5"/>
      <c r="O40" s="123"/>
    </row>
    <row r="41" spans="1:16" ht="13.8">
      <c r="A41" s="26" t="s">
        <v>52</v>
      </c>
      <c r="B41" s="150">
        <v>421.02499999999998</v>
      </c>
      <c r="C41" s="150">
        <v>360.625</v>
      </c>
      <c r="D41" s="150">
        <v>265</v>
      </c>
      <c r="E41" s="97" t="s">
        <v>10</v>
      </c>
      <c r="F41" s="150">
        <v>391.45</v>
      </c>
      <c r="G41" s="150">
        <v>335.63</v>
      </c>
      <c r="I41" s="23"/>
      <c r="J41" s="26"/>
      <c r="K41" s="5"/>
      <c r="L41" s="5"/>
      <c r="M41" s="5"/>
      <c r="O41" s="123"/>
    </row>
    <row r="42" spans="1:16" ht="13.8">
      <c r="A42" s="22" t="s">
        <v>53</v>
      </c>
      <c r="B42" s="88">
        <v>377.32</v>
      </c>
      <c r="C42" s="88">
        <v>343.75</v>
      </c>
      <c r="D42" s="88">
        <v>257.5</v>
      </c>
      <c r="E42" s="99" t="s">
        <v>10</v>
      </c>
      <c r="F42" s="88">
        <v>355.72</v>
      </c>
      <c r="G42" s="88">
        <v>297.5</v>
      </c>
      <c r="I42" s="23"/>
      <c r="J42" s="26"/>
      <c r="K42" s="5"/>
      <c r="L42" s="5"/>
      <c r="M42" s="5"/>
      <c r="O42" s="123"/>
    </row>
    <row r="43" spans="1:16" ht="16.2">
      <c r="A43" s="61" t="s">
        <v>162</v>
      </c>
      <c r="B43" s="100"/>
      <c r="C43" s="100"/>
      <c r="D43" s="100"/>
      <c r="E43" s="100"/>
      <c r="F43" s="100"/>
      <c r="G43" s="100"/>
      <c r="I43" s="23"/>
      <c r="J43" s="5"/>
      <c r="K43" s="5"/>
      <c r="L43" s="5"/>
    </row>
    <row r="44" spans="1:16" ht="16.2">
      <c r="A44" s="61" t="s">
        <v>150</v>
      </c>
      <c r="B44" s="101"/>
      <c r="C44" s="101"/>
      <c r="D44" s="101"/>
      <c r="E44" s="101"/>
      <c r="F44" s="101"/>
      <c r="G44" s="101"/>
      <c r="I44" s="23"/>
      <c r="J44" s="82"/>
      <c r="K44" s="5"/>
      <c r="L44" s="5"/>
      <c r="M44" s="5"/>
    </row>
    <row r="45" spans="1:16" ht="13.8">
      <c r="A45" s="23" t="s">
        <v>44</v>
      </c>
      <c r="B45" s="101"/>
      <c r="C45" s="101"/>
      <c r="D45" s="101"/>
      <c r="E45" s="101"/>
      <c r="F45" s="101"/>
      <c r="G45" s="101"/>
      <c r="H45" s="1"/>
      <c r="I45" s="26"/>
      <c r="J45" s="82"/>
      <c r="K45" s="5"/>
      <c r="L45" s="5"/>
      <c r="M45" s="5"/>
    </row>
    <row r="46" spans="1:16" ht="14.4">
      <c r="A46" s="23" t="s">
        <v>164</v>
      </c>
      <c r="B46" s="23"/>
      <c r="C46" s="23"/>
      <c r="D46" s="23"/>
      <c r="E46" s="23"/>
      <c r="F46" s="101"/>
      <c r="G46" s="101"/>
      <c r="I46" s="26"/>
      <c r="J46" s="82"/>
      <c r="K46" s="5"/>
      <c r="L46" s="5"/>
      <c r="M46" s="5"/>
    </row>
    <row r="47" spans="1:16" ht="13.8">
      <c r="A47" s="27" t="s">
        <v>18</v>
      </c>
      <c r="B47" s="53">
        <f ca="1">NOW()</f>
        <v>44391.598262037034</v>
      </c>
      <c r="C47" s="23"/>
      <c r="D47" s="23"/>
      <c r="E47" s="23"/>
      <c r="F47" s="101"/>
      <c r="G47" s="101"/>
      <c r="I47" s="26"/>
      <c r="J47" s="82"/>
      <c r="K47" s="6"/>
      <c r="L47" s="6"/>
      <c r="M47" s="6"/>
    </row>
    <row r="48" spans="1:16" ht="13.8">
      <c r="F48" s="101"/>
      <c r="G48" s="101"/>
      <c r="I48" s="26"/>
      <c r="J48" s="82"/>
      <c r="K48" s="6"/>
      <c r="L48" s="6"/>
      <c r="M48" s="6"/>
    </row>
    <row r="49" spans="6:13" ht="13.8">
      <c r="F49" s="101"/>
      <c r="G49" s="101"/>
      <c r="I49" s="26"/>
      <c r="J49" s="82"/>
      <c r="K49" s="5"/>
      <c r="L49" s="5"/>
      <c r="M49" s="5"/>
    </row>
    <row r="50" spans="6:13">
      <c r="I50" s="10"/>
      <c r="J50" s="10"/>
      <c r="K50" s="5"/>
      <c r="L50" s="5"/>
      <c r="M50" s="5"/>
    </row>
    <row r="51" spans="6:13">
      <c r="I51" s="9"/>
      <c r="J51" s="9"/>
      <c r="K51" s="5"/>
      <c r="L51" s="5"/>
      <c r="M51" s="5"/>
    </row>
    <row r="52" spans="6:13">
      <c r="I52" s="9"/>
      <c r="J52" s="9"/>
      <c r="K52" s="5"/>
      <c r="L52" s="5"/>
      <c r="M52" s="5"/>
    </row>
    <row r="53" spans="6:13">
      <c r="I53" s="9"/>
      <c r="J53" s="9"/>
      <c r="K53" s="5"/>
      <c r="L53" s="5"/>
      <c r="M53" s="5"/>
    </row>
    <row r="54" spans="6:13">
      <c r="I54" s="9"/>
      <c r="J54" s="9"/>
      <c r="K54" s="5"/>
      <c r="L54" s="5"/>
      <c r="M54" s="5"/>
    </row>
    <row r="56" spans="6:13">
      <c r="I56" s="7"/>
      <c r="J56" s="7"/>
      <c r="K56" s="7"/>
      <c r="L56" s="7"/>
      <c r="M56" s="7"/>
    </row>
    <row r="57" spans="6:13">
      <c r="I57" s="7"/>
      <c r="J57" s="7"/>
      <c r="K57" s="7"/>
      <c r="L57" s="7"/>
      <c r="M57" s="7"/>
    </row>
    <row r="58" spans="6:13">
      <c r="J58" s="7"/>
    </row>
  </sheetData>
  <phoneticPr fontId="9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7F19-EB5F-4540-A4C6-6B28F4C1D6E3}">
  <dimension ref="A1:F5"/>
  <sheetViews>
    <sheetView workbookViewId="0">
      <selection activeCell="T14" sqref="T14"/>
    </sheetView>
  </sheetViews>
  <sheetFormatPr defaultRowHeight="14.4"/>
  <cols>
    <col min="1" max="1" width="22" style="166" bestFit="1" customWidth="1"/>
    <col min="2" max="6" width="10.109375" style="166" bestFit="1" customWidth="1"/>
    <col min="7" max="16384" width="8.88671875" style="166"/>
  </cols>
  <sheetData>
    <row r="1" spans="1:6">
      <c r="A1" s="168"/>
      <c r="B1" s="168" t="s">
        <v>92</v>
      </c>
      <c r="C1" s="168" t="s">
        <v>117</v>
      </c>
      <c r="D1" s="168" t="s">
        <v>119</v>
      </c>
      <c r="E1" s="168" t="s">
        <v>127</v>
      </c>
      <c r="F1" s="168" t="s">
        <v>168</v>
      </c>
    </row>
    <row r="2" spans="1:6">
      <c r="A2" s="172" t="s">
        <v>169</v>
      </c>
      <c r="B2" s="167">
        <v>23734</v>
      </c>
      <c r="C2" s="167">
        <v>28890</v>
      </c>
      <c r="D2" s="167">
        <v>26700</v>
      </c>
      <c r="E2" s="167">
        <v>25500</v>
      </c>
      <c r="F2" s="167">
        <v>25500</v>
      </c>
    </row>
    <row r="3" spans="1:6">
      <c r="A3" s="172" t="s">
        <v>170</v>
      </c>
      <c r="B3" s="167">
        <v>32696</v>
      </c>
      <c r="C3" s="167">
        <v>32472</v>
      </c>
      <c r="D3" s="167">
        <v>20736</v>
      </c>
      <c r="E3" s="167">
        <v>26336</v>
      </c>
      <c r="F3" s="167">
        <v>27635</v>
      </c>
    </row>
    <row r="4" spans="1:6">
      <c r="A4" s="172" t="s">
        <v>171</v>
      </c>
      <c r="B4" s="167">
        <v>2132</v>
      </c>
      <c r="C4" s="167">
        <v>9104</v>
      </c>
      <c r="D4" s="167">
        <v>10002</v>
      </c>
      <c r="E4" s="167">
        <v>3700</v>
      </c>
      <c r="F4" s="167">
        <v>6350</v>
      </c>
    </row>
    <row r="5" spans="1:6">
      <c r="A5" s="172" t="s">
        <v>172</v>
      </c>
      <c r="B5" s="167">
        <v>76136</v>
      </c>
      <c r="C5" s="167">
        <v>74887</v>
      </c>
      <c r="D5" s="167">
        <v>92135</v>
      </c>
      <c r="E5" s="167">
        <v>83000</v>
      </c>
      <c r="F5" s="167">
        <v>93000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711008381A4489560F302ED63725A" ma:contentTypeVersion="11" ma:contentTypeDescription="Create a new document." ma:contentTypeScope="" ma:versionID="887cff17742744b02a1c83dd32c3b354">
  <xsd:schema xmlns:xsd="http://www.w3.org/2001/XMLSchema" xmlns:xs="http://www.w3.org/2001/XMLSchema" xmlns:p="http://schemas.microsoft.com/office/2006/metadata/properties" xmlns:ns3="642c2d5b-b5cd-4c4f-95a0-231891633038" xmlns:ns4="9d29759f-fdc3-4b89-93e8-7a818e788e93" targetNamespace="http://schemas.microsoft.com/office/2006/metadata/properties" ma:root="true" ma:fieldsID="eca4ca4c91a3a67dac508b2f26fcc458" ns3:_="" ns4:_="">
    <xsd:import namespace="642c2d5b-b5cd-4c4f-95a0-231891633038"/>
    <xsd:import namespace="9d29759f-fdc3-4b89-93e8-7a818e788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2d5b-b5cd-4c4f-95a0-231891633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9759f-fdc3-4b89-93e8-7a818e788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purl.org/dc/elements/1.1/"/>
    <ds:schemaRef ds:uri="9d29759f-fdc3-4b89-93e8-7a818e788e93"/>
    <ds:schemaRef ds:uri="642c2d5b-b5cd-4c4f-95a0-23189163303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D11575-6B8F-46EE-93E0-60356AADF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2d5b-b5cd-4c4f-95a0-231891633038"/>
    <ds:schemaRef ds:uri="9d29759f-fdc3-4b89-93e8-7a818e788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Figure 1</vt:lpstr>
      <vt:lpstr>Figure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Dana Golden;Aaron Ates;Candice Wilson</dc:creator>
  <cp:keywords>soybeans, cottonseed, sunflower, peanuts, canola, supply, disappearance, price, USDA, U.S. Department of Agriculture, ERS, Economic Research Service</cp:keywords>
  <dc:description/>
  <cp:lastModifiedBy>Wilson, Candice - REE-ERS, Kansas City, MO</cp:lastModifiedBy>
  <cp:lastPrinted>2014-11-10T20:35:48Z</cp:lastPrinted>
  <dcterms:created xsi:type="dcterms:W3CDTF">2001-11-13T16:22:15Z</dcterms:created>
  <dcterms:modified xsi:type="dcterms:W3CDTF">2021-07-14T19:21:29Z</dcterms:modified>
  <cp:category>Oilseeds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0x010100509711008381A4489560F302ED63725A</vt:lpwstr>
  </property>
</Properties>
</file>