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U:\Oilseeds\Tables and data\"/>
    </mc:Choice>
  </mc:AlternateContent>
  <xr:revisionPtr revIDLastSave="0" documentId="13_ncr:1_{263B3E15-D343-4957-9E7E-E1651C114E77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31" r:id="rId9"/>
    <sheet name="Oil Crops Char Gallery Fig 1" sheetId="32" r:id="rId10"/>
    <sheet name="Oil Crops Char Gallery Fig  2" sheetId="33" r:id="rId11"/>
    <sheet name="Oil Crops Char Gallery Fig  3" sheetId="34" r:id="rId12"/>
  </sheets>
  <definedNames>
    <definedName name="_xlnm.Print_Area" localSheetId="1">'Table 1'!$A$1:$N$44</definedName>
    <definedName name="_xlnm.Print_Area" localSheetId="7">'Table 10'!$A$1:$G$44</definedName>
    <definedName name="_xlnm.Print_Area" localSheetId="2">'Table 2'!$A$1:$J$35</definedName>
    <definedName name="_xlnm.Print_Area" localSheetId="3">'Table 3'!$A$1:$M$49</definedName>
    <definedName name="_xlnm.Print_Area" localSheetId="5">'Table 8'!$A$1:$G$42</definedName>
    <definedName name="_xlnm.Print_Area" localSheetId="6">'Table 9'!$A$1:$I$44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9" l="1"/>
  <c r="E11" i="2" l="1"/>
  <c r="I11" i="2" s="1"/>
  <c r="G11" i="2" s="1"/>
  <c r="G6" i="9" l="1"/>
  <c r="G33" i="9"/>
  <c r="D33" i="9"/>
  <c r="H33" i="9"/>
  <c r="I33" i="9"/>
  <c r="J33" i="9"/>
  <c r="J35" i="1"/>
  <c r="J36" i="1"/>
  <c r="J37" i="1"/>
  <c r="E8" i="1"/>
  <c r="I21" i="3" l="1"/>
  <c r="I20" i="3"/>
  <c r="F13" i="32" l="1"/>
  <c r="E13" i="32"/>
  <c r="D13" i="32"/>
  <c r="C13" i="32"/>
  <c r="B13" i="32"/>
  <c r="F12" i="32"/>
  <c r="E12" i="32"/>
  <c r="D12" i="32"/>
  <c r="C12" i="32"/>
  <c r="B12" i="32"/>
  <c r="F11" i="32"/>
  <c r="E11" i="32"/>
  <c r="D11" i="32"/>
  <c r="C11" i="32"/>
  <c r="B11" i="32"/>
  <c r="F10" i="32"/>
  <c r="E10" i="32"/>
  <c r="D10" i="32"/>
  <c r="C10" i="32"/>
  <c r="B10" i="32"/>
  <c r="F9" i="32"/>
  <c r="E9" i="32"/>
  <c r="D9" i="32"/>
  <c r="C9" i="32"/>
  <c r="B9" i="32"/>
  <c r="F8" i="32"/>
  <c r="E8" i="32"/>
  <c r="D8" i="32"/>
  <c r="C8" i="32"/>
  <c r="B8" i="32"/>
  <c r="F7" i="32"/>
  <c r="E7" i="32"/>
  <c r="D7" i="32"/>
  <c r="C7" i="32"/>
  <c r="B7" i="32"/>
  <c r="F6" i="32"/>
  <c r="E6" i="32"/>
  <c r="D6" i="32"/>
  <c r="C6" i="32"/>
  <c r="B6" i="32"/>
  <c r="F5" i="32"/>
  <c r="E5" i="32"/>
  <c r="D5" i="32"/>
  <c r="C5" i="32"/>
  <c r="B5" i="32"/>
  <c r="F4" i="32"/>
  <c r="E4" i="32"/>
  <c r="D4" i="32"/>
  <c r="C4" i="32"/>
  <c r="B4" i="32"/>
  <c r="F3" i="32"/>
  <c r="E3" i="32"/>
  <c r="D3" i="32"/>
  <c r="C3" i="32"/>
  <c r="B3" i="32"/>
  <c r="F2" i="32"/>
  <c r="E2" i="32"/>
  <c r="D2" i="32"/>
  <c r="C2" i="32"/>
  <c r="B2" i="32"/>
  <c r="B8" i="2" l="1"/>
  <c r="D32" i="2" l="1"/>
  <c r="H32" i="2"/>
  <c r="G40" i="1"/>
  <c r="L40" i="1"/>
  <c r="L39" i="1"/>
  <c r="C33" i="9" l="1"/>
  <c r="B32" i="9"/>
  <c r="E32" i="9" s="1"/>
  <c r="J40" i="1"/>
  <c r="J39" i="1"/>
  <c r="B32" i="2"/>
  <c r="E32" i="2" s="1"/>
  <c r="H33" i="2"/>
  <c r="D33" i="2"/>
  <c r="C33" i="2"/>
  <c r="L41" i="1"/>
  <c r="G41" i="1"/>
  <c r="K32" i="9" l="1"/>
  <c r="I32" i="2"/>
  <c r="G32" i="2" l="1"/>
  <c r="A5" i="10" l="1"/>
  <c r="H8" i="1" l="1"/>
  <c r="M8" i="1" l="1"/>
  <c r="K8" i="1" s="1"/>
  <c r="G39" i="1"/>
  <c r="B31" i="9" l="1"/>
  <c r="E31" i="9" s="1"/>
  <c r="K31" i="9" s="1"/>
  <c r="B31" i="2"/>
  <c r="E31" i="2"/>
  <c r="E7" i="2"/>
  <c r="E8" i="2"/>
  <c r="I8" i="2" s="1"/>
  <c r="G8" i="2" s="1"/>
  <c r="E8" i="9"/>
  <c r="K8" i="9" s="1"/>
  <c r="G8" i="9" s="1"/>
  <c r="I31" i="2" l="1"/>
  <c r="G31" i="2" s="1"/>
  <c r="B8" i="3"/>
  <c r="E8" i="3" s="1"/>
  <c r="J8" i="3" s="1"/>
  <c r="I8" i="3" s="1"/>
  <c r="E21" i="3"/>
  <c r="B33" i="3"/>
  <c r="E33" i="3" s="1"/>
  <c r="I33" i="3" s="1"/>
  <c r="G33" i="3" s="1"/>
  <c r="E46" i="3"/>
  <c r="H46" i="3" s="1"/>
  <c r="N46" i="3" s="1"/>
  <c r="D45" i="3"/>
  <c r="B30" i="2" l="1"/>
  <c r="E38" i="1"/>
  <c r="G37" i="1"/>
  <c r="L37" i="1"/>
  <c r="E30" i="2" l="1"/>
  <c r="I30" i="2" l="1"/>
  <c r="G30" i="2" s="1"/>
  <c r="E7" i="9"/>
  <c r="K7" i="9" s="1"/>
  <c r="G7" i="9" s="1"/>
  <c r="H23" i="9"/>
  <c r="E20" i="3"/>
  <c r="B30" i="9"/>
  <c r="E30" i="9" s="1"/>
  <c r="K30" i="9" s="1"/>
  <c r="G36" i="1"/>
  <c r="L36" i="1"/>
  <c r="B45" i="5" l="1"/>
  <c r="L35" i="1" l="1"/>
  <c r="L38" i="1" s="1"/>
  <c r="G35" i="1"/>
  <c r="G38" i="1" s="1"/>
  <c r="H38" i="1" s="1"/>
  <c r="M38" i="1" s="1"/>
  <c r="B29" i="2" l="1"/>
  <c r="E29" i="2" s="1"/>
  <c r="B29" i="9"/>
  <c r="E29" i="9" s="1"/>
  <c r="K29" i="9" s="1"/>
  <c r="J38" i="1"/>
  <c r="F41" i="1"/>
  <c r="I29" i="2" l="1"/>
  <c r="G29" i="2" s="1"/>
  <c r="K38" i="1"/>
  <c r="J41" i="1"/>
  <c r="L33" i="1" l="1"/>
  <c r="G33" i="1"/>
  <c r="B28" i="9" l="1"/>
  <c r="E28" i="9" s="1"/>
  <c r="K28" i="9" s="1"/>
  <c r="B28" i="2" l="1"/>
  <c r="E28" i="2" s="1"/>
  <c r="J33" i="1"/>
  <c r="I28" i="2" l="1"/>
  <c r="G28" i="2" s="1"/>
  <c r="L32" i="1"/>
  <c r="L31" i="1"/>
  <c r="L34" i="1" s="1"/>
  <c r="L26" i="1"/>
  <c r="G32" i="1" l="1"/>
  <c r="B27" i="9" l="1"/>
  <c r="E27" i="9" s="1"/>
  <c r="K27" i="9" s="1"/>
  <c r="B27" i="2"/>
  <c r="E27" i="2" s="1"/>
  <c r="J31" i="1"/>
  <c r="J32" i="1"/>
  <c r="I27" i="2" l="1"/>
  <c r="G27" i="2" s="1"/>
  <c r="J34" i="1"/>
  <c r="E34" i="1"/>
  <c r="B26" i="2"/>
  <c r="E33" i="2" s="1"/>
  <c r="B22" i="2"/>
  <c r="E22" i="2" s="1"/>
  <c r="I22" i="2" s="1"/>
  <c r="G22" i="2" s="1"/>
  <c r="B21" i="2"/>
  <c r="E21" i="2" s="1"/>
  <c r="I21" i="2" s="1"/>
  <c r="G21" i="2" s="1"/>
  <c r="B20" i="2"/>
  <c r="E20" i="2" s="1"/>
  <c r="I20" i="2" s="1"/>
  <c r="G20" i="2" s="1"/>
  <c r="B19" i="2"/>
  <c r="E19" i="2" s="1"/>
  <c r="I19" i="2" s="1"/>
  <c r="G19" i="2" s="1"/>
  <c r="B18" i="2"/>
  <c r="E18" i="2" s="1"/>
  <c r="I18" i="2" s="1"/>
  <c r="G18" i="2" s="1"/>
  <c r="B17" i="2"/>
  <c r="E17" i="2" s="1"/>
  <c r="I17" i="2" s="1"/>
  <c r="G17" i="2" s="1"/>
  <c r="B16" i="2"/>
  <c r="E16" i="2" s="1"/>
  <c r="I16" i="2" s="1"/>
  <c r="G16" i="2" s="1"/>
  <c r="B15" i="2"/>
  <c r="E15" i="2" s="1"/>
  <c r="I15" i="2" s="1"/>
  <c r="G15" i="2" s="1"/>
  <c r="B14" i="2"/>
  <c r="E14" i="2" s="1"/>
  <c r="I14" i="2" s="1"/>
  <c r="G14" i="2" s="1"/>
  <c r="B13" i="2"/>
  <c r="E13" i="2" s="1"/>
  <c r="I13" i="2" s="1"/>
  <c r="G13" i="2" s="1"/>
  <c r="B12" i="2"/>
  <c r="E12" i="2" s="1"/>
  <c r="I12" i="2" s="1"/>
  <c r="G12" i="2" s="1"/>
  <c r="B11" i="2"/>
  <c r="C23" i="9"/>
  <c r="B22" i="9"/>
  <c r="E22" i="9" s="1"/>
  <c r="B21" i="9"/>
  <c r="B20" i="9"/>
  <c r="B19" i="9"/>
  <c r="E19" i="9" s="1"/>
  <c r="B18" i="9"/>
  <c r="B17" i="9"/>
  <c r="E17" i="9" s="1"/>
  <c r="K17" i="9" s="1"/>
  <c r="G17" i="9" s="1"/>
  <c r="I17" i="9" s="1"/>
  <c r="B16" i="9"/>
  <c r="E16" i="9" s="1"/>
  <c r="K16" i="9" s="1"/>
  <c r="G16" i="9" s="1"/>
  <c r="I16" i="9" s="1"/>
  <c r="B15" i="9"/>
  <c r="E15" i="9" s="1"/>
  <c r="B14" i="9"/>
  <c r="E14" i="9" s="1"/>
  <c r="K14" i="9" s="1"/>
  <c r="G14" i="9" s="1"/>
  <c r="I14" i="9" s="1"/>
  <c r="B13" i="9"/>
  <c r="B12" i="9"/>
  <c r="D23" i="9"/>
  <c r="B11" i="9"/>
  <c r="K19" i="9" l="1"/>
  <c r="G19" i="9" s="1"/>
  <c r="I19" i="9" s="1"/>
  <c r="D23" i="2"/>
  <c r="H23" i="2"/>
  <c r="E23" i="9"/>
  <c r="J23" i="9"/>
  <c r="E12" i="9"/>
  <c r="K12" i="9" s="1"/>
  <c r="G12" i="9" s="1"/>
  <c r="I12" i="9" s="1"/>
  <c r="E20" i="9"/>
  <c r="K20" i="9" s="1"/>
  <c r="G20" i="9" s="1"/>
  <c r="I20" i="9" s="1"/>
  <c r="E18" i="9"/>
  <c r="K18" i="9" s="1"/>
  <c r="G18" i="9" s="1"/>
  <c r="I18" i="9" s="1"/>
  <c r="K15" i="9"/>
  <c r="G15" i="9" s="1"/>
  <c r="I15" i="9" s="1"/>
  <c r="E13" i="9"/>
  <c r="K13" i="9" s="1"/>
  <c r="G13" i="9" s="1"/>
  <c r="I13" i="9" s="1"/>
  <c r="E21" i="9"/>
  <c r="K21" i="9" s="1"/>
  <c r="G21" i="9" s="1"/>
  <c r="I21" i="9" s="1"/>
  <c r="E11" i="9"/>
  <c r="K11" i="9" s="1"/>
  <c r="G31" i="1"/>
  <c r="G34" i="1" s="1"/>
  <c r="H41" i="1" s="1"/>
  <c r="H34" i="1" l="1"/>
  <c r="M34" i="1" s="1"/>
  <c r="G11" i="9"/>
  <c r="K34" i="1" l="1"/>
  <c r="K41" i="1" s="1"/>
  <c r="M41" i="1"/>
  <c r="B26" i="9"/>
  <c r="E33" i="9" s="1"/>
  <c r="K22" i="9"/>
  <c r="G22" i="9" s="1"/>
  <c r="I22" i="9" s="1"/>
  <c r="I11" i="9"/>
  <c r="J26" i="1"/>
  <c r="G23" i="9" l="1"/>
  <c r="K23" i="9" s="1"/>
  <c r="G26" i="1"/>
  <c r="F15" i="1" l="1"/>
  <c r="E27" i="1" l="1"/>
  <c r="G25" i="1" l="1"/>
  <c r="L25" i="1"/>
  <c r="J25" i="1" l="1"/>
  <c r="F28" i="1" l="1"/>
  <c r="L24" i="1" l="1"/>
  <c r="L27" i="1" s="1"/>
  <c r="G24" i="1"/>
  <c r="G27" i="1" s="1"/>
  <c r="H27" i="1" s="1"/>
  <c r="M27" i="1" s="1"/>
  <c r="J24" i="1" l="1"/>
  <c r="J27" i="1" s="1"/>
  <c r="K27" i="1" s="1"/>
  <c r="L22" i="1" l="1"/>
  <c r="G22" i="1"/>
  <c r="J22" i="1" l="1"/>
  <c r="G21" i="1" l="1"/>
  <c r="E23" i="1"/>
  <c r="L16" i="1"/>
  <c r="L14" i="1"/>
  <c r="L13" i="1"/>
  <c r="L12" i="1"/>
  <c r="G16" i="1"/>
  <c r="G14" i="1"/>
  <c r="G13" i="1"/>
  <c r="G12" i="1"/>
  <c r="L21" i="1" l="1"/>
  <c r="J21" i="1" l="1"/>
  <c r="E45" i="3" l="1"/>
  <c r="H45" i="3" s="1"/>
  <c r="B32" i="3"/>
  <c r="E32" i="3" s="1"/>
  <c r="B7" i="3"/>
  <c r="E7" i="3" s="1"/>
  <c r="J7" i="3" s="1"/>
  <c r="I7" i="3" s="1"/>
  <c r="N45" i="3" l="1"/>
  <c r="L45" i="3" s="1"/>
  <c r="I32" i="3"/>
  <c r="G32" i="3" s="1"/>
  <c r="L20" i="1"/>
  <c r="L23" i="1" s="1"/>
  <c r="G20" i="1" l="1"/>
  <c r="G23" i="1" s="1"/>
  <c r="H23" i="1" l="1"/>
  <c r="M23" i="1" s="1"/>
  <c r="J20" i="1"/>
  <c r="J23" i="1" s="1"/>
  <c r="K23" i="1" l="1"/>
  <c r="B7" i="2" l="1"/>
  <c r="I7" i="2" s="1"/>
  <c r="G7" i="2" s="1"/>
  <c r="D7" i="1"/>
  <c r="E7" i="1"/>
  <c r="H7" i="1" l="1"/>
  <c r="M7" i="1" s="1"/>
  <c r="K7" i="1" s="1"/>
  <c r="J18" i="1" l="1"/>
  <c r="L18" i="1" l="1"/>
  <c r="G18" i="1"/>
  <c r="E19" i="1" l="1"/>
  <c r="L17" i="1" l="1"/>
  <c r="G17" i="1"/>
  <c r="J13" i="1" l="1"/>
  <c r="J17" i="1" l="1"/>
  <c r="B50" i="3" l="1"/>
  <c r="L19" i="1" l="1"/>
  <c r="G19" i="1"/>
  <c r="H19" i="1" l="1"/>
  <c r="M19" i="1" s="1"/>
  <c r="J16" i="1"/>
  <c r="J19" i="1" s="1"/>
  <c r="K19" i="1" l="1"/>
  <c r="G22" i="6" l="1"/>
  <c r="J14" i="1" l="1"/>
  <c r="L15" i="1" l="1"/>
  <c r="L28" i="1" s="1"/>
  <c r="G15" i="1"/>
  <c r="G28" i="1" s="1"/>
  <c r="H28" i="1" l="1"/>
  <c r="J12" i="1"/>
  <c r="J15" i="1" s="1"/>
  <c r="J28" i="1" s="1"/>
  <c r="H15" i="1"/>
  <c r="E26" i="9" l="1"/>
  <c r="K26" i="9" s="1"/>
  <c r="K33" i="9" s="1"/>
  <c r="M15" i="1"/>
  <c r="M28" i="1" s="1"/>
  <c r="E26" i="2"/>
  <c r="B45" i="1"/>
  <c r="I26" i="2" l="1"/>
  <c r="I33" i="2" s="1"/>
  <c r="G26" i="2"/>
  <c r="G33" i="2" s="1"/>
  <c r="K15" i="1"/>
  <c r="K28" i="1" s="1"/>
  <c r="B46" i="6" l="1"/>
  <c r="B45" i="4"/>
  <c r="B36" i="2"/>
  <c r="C23" i="2" l="1"/>
  <c r="E23" i="2" s="1"/>
  <c r="I23" i="2" l="1"/>
  <c r="G23" i="2"/>
</calcChain>
</file>

<file path=xl/sharedStrings.xml><?xml version="1.0" encoding="utf-8"?>
<sst xmlns="http://schemas.openxmlformats.org/spreadsheetml/2006/main" count="539" uniqueCount="197">
  <si>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</si>
  <si>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</si>
  <si>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</si>
  <si>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</si>
  <si>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</si>
  <si>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</si>
  <si>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</si>
  <si>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</si>
  <si>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</si>
  <si>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</si>
  <si>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</si>
  <si>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</si>
  <si>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</si>
  <si>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</si>
  <si>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</si>
  <si>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</si>
  <si>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 Million pounds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</si>
  <si>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</si>
  <si>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</si>
  <si>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</si>
  <si>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</si>
  <si>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</si>
  <si>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</si>
  <si>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</si>
  <si>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</si>
  <si>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</si>
  <si>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</si>
  <si>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</si>
  <si>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</si>
  <si>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</si>
  <si>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</si>
  <si>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</si>
  <si>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</si>
  <si>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</si>
  <si>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</si>
  <si>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</si>
  <si>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</si>
  <si>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</si>
  <si>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</si>
  <si>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</si>
  <si>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</si>
  <si>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</si>
  <si>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</si>
  <si>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</si>
  <si>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</si>
  <si>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</si>
  <si>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</si>
  <si>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</si>
  <si>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</si>
  <si>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</si>
  <si>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</si>
  <si>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</si>
  <si>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</si>
  <si>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</si>
  <si>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</si>
  <si>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</si>
  <si>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</si>
  <si>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</si>
  <si>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</si>
  <si>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</si>
  <si>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Pounds/acre</t>
  </si>
  <si>
    <t xml:space="preserve">  September-November</t>
  </si>
  <si>
    <t xml:space="preserve">  December-February</t>
  </si>
  <si>
    <t xml:space="preserve">  March-May</t>
  </si>
  <si>
    <t>Year beginning</t>
  </si>
  <si>
    <t>October 1</t>
  </si>
  <si>
    <t>August 1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</si>
  <si>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</si>
  <si>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</si>
  <si>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</si>
  <si>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</si>
  <si>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</si>
  <si>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</si>
  <si>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</si>
  <si>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</si>
  <si>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</si>
  <si>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</si>
  <si>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</si>
  <si>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</si>
  <si>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</si>
  <si>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</si>
  <si>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</si>
  <si>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</si>
  <si>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</si>
  <si>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</si>
  <si>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</si>
  <si>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</si>
  <si>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</si>
  <si>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</si>
  <si>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</si>
  <si>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</si>
  <si>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</si>
  <si>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</si>
  <si>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</si>
  <si>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</si>
  <si>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</si>
  <si>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</si>
  <si>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</si>
  <si>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</si>
  <si>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</si>
  <si>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</si>
  <si>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</si>
  <si>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</si>
  <si>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</si>
  <si>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</si>
  <si>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</si>
  <si>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</si>
  <si>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</si>
  <si>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</si>
  <si>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</si>
  <si>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</si>
  <si>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</si>
  <si>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</si>
  <si>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</si>
  <si>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</si>
  <si>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</si>
  <si>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</si>
  <si>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</si>
  <si>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t>2018/19</t>
  </si>
  <si>
    <t>---------------------------------------------Million bushels----------------------------------------------------------</t>
  </si>
  <si>
    <t>2019/20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</si>
  <si>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</si>
  <si>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</si>
  <si>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</si>
  <si>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</si>
  <si>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</si>
  <si>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</si>
  <si>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</si>
  <si>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</si>
  <si>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>Total to date</t>
  </si>
  <si>
    <t xml:space="preserve"> June-August</t>
  </si>
  <si>
    <t>Bushels per acre</t>
  </si>
  <si>
    <t>Soybeans: Quarterly U.S. supply and disappearance</t>
  </si>
  <si>
    <t xml:space="preserve">Dollars per bushel </t>
  </si>
  <si>
    <t xml:space="preserve">Dollars per short ton  </t>
  </si>
  <si>
    <t>Cents per pound</t>
  </si>
  <si>
    <t>Dollars per hundredweight</t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</si>
  <si>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</si>
  <si>
    <t>------------------------------------------------------- Cents per pound----------------------------------------------</t>
  </si>
  <si>
    <t>--------------------------------------------------- Dollars per short ton------------------------------------------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</si>
  <si>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</si>
  <si>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</si>
  <si>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</si>
  <si>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</si>
  <si>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</si>
  <si>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</si>
  <si>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</si>
  <si>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</si>
  <si>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</si>
  <si>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Table 1—Soybeans: U.S. supply and disappearance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</si>
  <si>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</si>
  <si>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NA = Not available.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</si>
  <si>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Minneapolis, MN. 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</si>
  <si>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</si>
  <si>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</si>
  <si>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>2021/22</t>
    </r>
    <r>
      <rPr>
        <vertAlign val="superscript"/>
        <sz val="11"/>
        <rFont val="Arial"/>
        <family val="2"/>
      </rPr>
      <t>2</t>
    </r>
  </si>
  <si>
    <r>
      <t>2021/22</t>
    </r>
    <r>
      <rPr>
        <vertAlign val="superscript"/>
        <sz val="11"/>
        <rFont val="Arial"/>
        <family val="2"/>
      </rPr>
      <t>1</t>
    </r>
  </si>
  <si>
    <t>Million Pounds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</si>
  <si>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</si>
  <si>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</si>
  <si>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</t>
    </r>
  </si>
  <si>
    <r>
      <t>Biofuel</t>
    </r>
    <r>
      <rPr>
        <vertAlign val="superscript"/>
        <sz val="11"/>
        <rFont val="Arial"/>
        <family val="2"/>
      </rPr>
      <t>3</t>
    </r>
  </si>
  <si>
    <t>Country</t>
  </si>
  <si>
    <t>2017/2018</t>
  </si>
  <si>
    <t>2018/2019</t>
  </si>
  <si>
    <t>2019/2020</t>
  </si>
  <si>
    <t>2020/2021</t>
  </si>
  <si>
    <t>2021/2022</t>
  </si>
  <si>
    <t>Australia</t>
  </si>
  <si>
    <t>Canada</t>
  </si>
  <si>
    <t>China</t>
  </si>
  <si>
    <t>European Union</t>
  </si>
  <si>
    <t>India</t>
  </si>
  <si>
    <t>Russia</t>
  </si>
  <si>
    <t>Ukraine</t>
  </si>
  <si>
    <t>World</t>
  </si>
  <si>
    <t>2021/22</t>
  </si>
  <si>
    <t>Soybeans price per bushel</t>
  </si>
  <si>
    <t>Sunflowerseed price per hundredweight</t>
  </si>
  <si>
    <t>Canola price per hundredweight</t>
  </si>
  <si>
    <t>Peanuts price per pound</t>
  </si>
  <si>
    <t>Flaxseed price per bushel</t>
  </si>
  <si>
    <t>Category</t>
  </si>
  <si>
    <t>Ending stocks (thousand metric tons)</t>
  </si>
  <si>
    <t>Production (thousand metric tons)</t>
  </si>
  <si>
    <t>Marketing year</t>
  </si>
  <si>
    <t>Gross value of production</t>
  </si>
  <si>
    <t>Operating costs</t>
  </si>
  <si>
    <t>Allocated overhead</t>
  </si>
  <si>
    <t>Costs listed</t>
  </si>
  <si>
    <t>Contact: Candice Wilson, Kate Vaiknoras, Dana Golden, and Todd Hubbs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</si>
  <si>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 Note: 1 metric ton equals 2,204.622 pounds. NA: Not available.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</si>
  <si>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</si>
  <si>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</si>
  <si>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</si>
  <si>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Prices.</t>
    </r>
  </si>
  <si>
    <t>Errata: On June 21, 2021, Tables 1 and 3 of the Oil Crops Outlook were reposted to correct errors in prior month calculations of biofuel and January soybean crush.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</si>
</sst>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2"/>
      <color indexed="8"/>
      <name val="HelveticaNeueforSAS"/>
      <family val="2"/>
    </font>
    <font>
      <sz val="12"/>
      <color theme="1"/>
      <name val="HelveticaNeueforSAS"/>
      <family val="2"/>
    </font>
    <font>
      <b/>
      <sz val="11"/>
      <name val="Arial"/>
      <family val="2"/>
    </font>
    <font>
      <sz val="11"/>
      <name val="Calibri"/>
      <family val="2"/>
    </font>
    <font>
      <b/>
      <sz val="12"/>
      <color theme="1"/>
      <name val="HelveticaNeueforSAS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0"/>
      <name val="Courier New"/>
      <family val="3"/>
    </font>
    <font>
      <u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5" fillId="0" borderId="0"/>
    <xf numFmtId="0" fontId="5" fillId="0" borderId="0"/>
    <xf numFmtId="0" fontId="16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8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181">
    <xf numFmtId="0" fontId="0" fillId="0" borderId="0" xfId="0"/>
    <xf numFmtId="0" fontId="0" fillId="0" borderId="0" xfId="0" applyBorder="1"/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Font="1" applyBorder="1"/>
    <xf numFmtId="43" fontId="0" fillId="0" borderId="0" xfId="0" applyNumberFormat="1"/>
    <xf numFmtId="0" fontId="5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8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9" fontId="8" fillId="0" borderId="0" xfId="1" applyNumberFormat="1" applyFont="1" applyBorder="1" applyAlignment="1">
      <alignment horizontal="center"/>
    </xf>
    <xf numFmtId="0" fontId="5" fillId="0" borderId="0" xfId="8" applyFont="1"/>
    <xf numFmtId="0" fontId="6" fillId="0" borderId="0" xfId="8" applyFont="1"/>
    <xf numFmtId="0" fontId="5" fillId="0" borderId="0" xfId="8" applyFont="1" applyFill="1"/>
    <xf numFmtId="0" fontId="5" fillId="0" borderId="0" xfId="8" quotePrefix="1" applyFont="1"/>
    <xf numFmtId="0" fontId="11" fillId="0" borderId="0" xfId="8" applyFont="1" applyFill="1"/>
    <xf numFmtId="0" fontId="12" fillId="0" borderId="0" xfId="8" applyFont="1"/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69" fontId="13" fillId="0" borderId="0" xfId="1" applyNumberFormat="1" applyFont="1" applyBorder="1" applyAlignment="1">
      <alignment horizontal="right" indent="1"/>
    </xf>
    <xf numFmtId="169" fontId="13" fillId="0" borderId="0" xfId="1" applyNumberFormat="1" applyFont="1" applyBorder="1" applyAlignment="1">
      <alignment horizontal="right"/>
    </xf>
    <xf numFmtId="169" fontId="13" fillId="0" borderId="0" xfId="1" quotePrefix="1" applyNumberFormat="1" applyFont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69" fontId="13" fillId="0" borderId="0" xfId="1" quotePrefix="1" applyNumberFormat="1" applyFont="1" applyAlignment="1">
      <alignment horizontal="right"/>
    </xf>
    <xf numFmtId="169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69" fontId="13" fillId="0" borderId="0" xfId="1" applyNumberFormat="1" applyFont="1" applyBorder="1" applyAlignment="1">
      <alignment horizontal="center"/>
    </xf>
    <xf numFmtId="169" fontId="13" fillId="0" borderId="0" xfId="1" applyNumberFormat="1" applyFont="1" applyBorder="1" applyAlignment="1">
      <alignment horizontal="right" indent="2"/>
    </xf>
    <xf numFmtId="169" fontId="13" fillId="0" borderId="0" xfId="1" applyNumberFormat="1" applyFont="1" applyAlignment="1">
      <alignment horizontal="right" indent="1"/>
    </xf>
    <xf numFmtId="169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69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0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13" fillId="0" borderId="0" xfId="0" applyNumberFormat="1" applyFont="1" applyBorder="1" applyAlignment="1">
      <alignment horizontal="center"/>
    </xf>
    <xf numFmtId="0" fontId="5" fillId="0" borderId="1" xfId="0" applyFont="1" applyBorder="1"/>
    <xf numFmtId="169" fontId="13" fillId="0" borderId="1" xfId="1" applyNumberFormat="1" applyFont="1" applyBorder="1" applyAlignment="1">
      <alignment horizontal="right"/>
    </xf>
    <xf numFmtId="0" fontId="5" fillId="0" borderId="0" xfId="0" applyFont="1" applyBorder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4" fillId="0" borderId="0" xfId="0" applyFont="1" applyBorder="1"/>
    <xf numFmtId="169" fontId="13" fillId="0" borderId="0" xfId="0" applyNumberFormat="1" applyFont="1" applyBorder="1"/>
    <xf numFmtId="169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9" fontId="13" fillId="0" borderId="0" xfId="12" applyFont="1"/>
    <xf numFmtId="164" fontId="13" fillId="0" borderId="1" xfId="1" applyNumberFormat="1" applyFont="1" applyBorder="1" applyAlignment="1">
      <alignment horizontal="center"/>
    </xf>
    <xf numFmtId="164" fontId="13" fillId="0" borderId="1" xfId="1" quotePrefix="1" applyNumberFormat="1" applyFont="1" applyBorder="1" applyAlignment="1">
      <alignment horizontal="center"/>
    </xf>
    <xf numFmtId="169" fontId="13" fillId="0" borderId="1" xfId="1" quotePrefix="1" applyNumberFormat="1" applyFont="1" applyBorder="1" applyAlignment="1">
      <alignment horizontal="right"/>
    </xf>
    <xf numFmtId="169" fontId="13" fillId="0" borderId="1" xfId="1" applyNumberFormat="1" applyFont="1" applyFill="1" applyBorder="1" applyAlignment="1">
      <alignment horizontal="right"/>
    </xf>
    <xf numFmtId="0" fontId="17" fillId="0" borderId="0" xfId="0" applyFont="1" applyAlignment="1">
      <alignment vertical="center"/>
    </xf>
    <xf numFmtId="169" fontId="13" fillId="2" borderId="0" xfId="1" applyNumberFormat="1" applyFont="1" applyFill="1" applyBorder="1" applyAlignment="1">
      <alignment horizontal="center"/>
    </xf>
    <xf numFmtId="169" fontId="13" fillId="2" borderId="0" xfId="1" applyNumberFormat="1" applyFont="1" applyFill="1" applyBorder="1" applyAlignment="1">
      <alignment horizontal="right" indent="1"/>
    </xf>
    <xf numFmtId="169" fontId="13" fillId="2" borderId="0" xfId="1" applyNumberFormat="1" applyFont="1" applyFill="1" applyAlignment="1">
      <alignment horizontal="right" indent="1"/>
    </xf>
    <xf numFmtId="3" fontId="13" fillId="0" borderId="0" xfId="0" applyNumberFormat="1" applyFont="1"/>
    <xf numFmtId="169" fontId="13" fillId="0" borderId="0" xfId="1" applyNumberFormat="1" applyFont="1" applyFill="1" applyAlignment="1">
      <alignment horizontal="right" indent="1"/>
    </xf>
    <xf numFmtId="169" fontId="13" fillId="0" borderId="0" xfId="1" applyNumberFormat="1" applyFont="1" applyFill="1" applyBorder="1" applyAlignment="1">
      <alignment horizontal="right" indent="1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37" fontId="13" fillId="0" borderId="0" xfId="1" applyNumberFormat="1" applyFont="1" applyBorder="1" applyAlignment="1">
      <alignment horizontal="right" indent="2"/>
    </xf>
    <xf numFmtId="1" fontId="13" fillId="0" borderId="0" xfId="0" applyNumberFormat="1" applyFont="1" applyBorder="1" applyAlignment="1">
      <alignment horizontal="center"/>
    </xf>
    <xf numFmtId="169" fontId="13" fillId="0" borderId="0" xfId="0" applyNumberFormat="1" applyFont="1"/>
    <xf numFmtId="169" fontId="13" fillId="0" borderId="0" xfId="1" applyNumberFormat="1" applyFont="1" applyFill="1" applyBorder="1" applyAlignment="1">
      <alignment horizontal="center"/>
    </xf>
    <xf numFmtId="1" fontId="19" fillId="2" borderId="0" xfId="0" applyNumberFormat="1" applyFont="1" applyFill="1"/>
    <xf numFmtId="0" fontId="21" fillId="0" borderId="0" xfId="0" applyFont="1"/>
    <xf numFmtId="0" fontId="21" fillId="0" borderId="0" xfId="0" applyFont="1" applyBorder="1"/>
    <xf numFmtId="0" fontId="21" fillId="0" borderId="0" xfId="0" quotePrefix="1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0" xfId="0" applyFont="1"/>
    <xf numFmtId="2" fontId="13" fillId="0" borderId="1" xfId="0" applyNumberFormat="1" applyFont="1" applyBorder="1" applyAlignment="1">
      <alignment horizontal="center"/>
    </xf>
    <xf numFmtId="43" fontId="4" fillId="0" borderId="0" xfId="1" applyFont="1"/>
    <xf numFmtId="168" fontId="0" fillId="0" borderId="0" xfId="0" applyNumberFormat="1"/>
    <xf numFmtId="0" fontId="18" fillId="0" borderId="0" xfId="16"/>
    <xf numFmtId="0" fontId="23" fillId="0" borderId="1" xfId="18" applyFont="1" applyBorder="1" applyAlignment="1">
      <alignment horizontal="center"/>
    </xf>
    <xf numFmtId="0" fontId="20" fillId="0" borderId="0" xfId="18" applyFont="1"/>
    <xf numFmtId="165" fontId="20" fillId="0" borderId="0" xfId="1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4" fillId="0" borderId="1" xfId="16" applyFont="1" applyBorder="1" applyAlignment="1">
      <alignment horizontal="center"/>
    </xf>
    <xf numFmtId="0" fontId="24" fillId="0" borderId="1" xfId="16" applyFont="1" applyBorder="1" applyAlignment="1">
      <alignment horizontal="center" vertical="center"/>
    </xf>
    <xf numFmtId="0" fontId="25" fillId="0" borderId="0" xfId="16" applyFont="1" applyAlignment="1">
      <alignment wrapText="1"/>
    </xf>
    <xf numFmtId="2" fontId="26" fillId="0" borderId="0" xfId="16" applyNumberFormat="1" applyFont="1"/>
    <xf numFmtId="47" fontId="0" fillId="0" borderId="0" xfId="0" applyNumberFormat="1"/>
    <xf numFmtId="3" fontId="0" fillId="0" borderId="0" xfId="0" applyNumberFormat="1"/>
    <xf numFmtId="165" fontId="27" fillId="0" borderId="0" xfId="1" applyNumberFormat="1" applyFont="1"/>
    <xf numFmtId="0" fontId="28" fillId="0" borderId="0" xfId="0" applyFont="1"/>
    <xf numFmtId="43" fontId="0" fillId="0" borderId="0" xfId="0" applyNumberFormat="1"/>
    <xf numFmtId="169" fontId="13" fillId="0" borderId="0" xfId="1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center"/>
    </xf>
    <xf numFmtId="169" fontId="13" fillId="0" borderId="0" xfId="1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169" fontId="13" fillId="2" borderId="0" xfId="1" applyNumberFormat="1" applyFont="1" applyFill="1" applyBorder="1" applyAlignment="1">
      <alignment horizontal="center"/>
    </xf>
    <xf numFmtId="169" fontId="13" fillId="2" borderId="0" xfId="1" applyNumberFormat="1" applyFont="1" applyFill="1" applyBorder="1" applyAlignment="1">
      <alignment horizontal="right" indent="1"/>
    </xf>
    <xf numFmtId="169" fontId="13" fillId="0" borderId="0" xfId="1" applyNumberFormat="1" applyFont="1" applyFill="1" applyBorder="1" applyAlignment="1">
      <alignment horizontal="right" indent="1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13" fillId="0" borderId="0" xfId="8" applyFont="1" applyBorder="1" applyAlignment="1">
      <alignment vertical="top" wrapText="1"/>
    </xf>
    <xf numFmtId="0" fontId="21" fillId="0" borderId="0" xfId="7" applyFont="1" applyAlignment="1">
      <alignment horizontal="left"/>
    </xf>
    <xf numFmtId="0" fontId="29" fillId="0" borderId="0" xfId="5" applyFont="1" applyAlignment="1" applyProtection="1"/>
    <xf numFmtId="14" fontId="21" fillId="0" borderId="0" xfId="7" applyNumberFormat="1" applyFont="1" applyAlignment="1">
      <alignment horizontal="left"/>
    </xf>
    <xf numFmtId="0" fontId="29" fillId="0" borderId="0" xfId="4" applyFont="1" applyAlignment="1" applyProtection="1"/>
    <xf numFmtId="0" fontId="13" fillId="0" borderId="0" xfId="7" quotePrefix="1" applyFont="1" applyAlignment="1">
      <alignment horizontal="left"/>
    </xf>
    <xf numFmtId="0" fontId="13" fillId="0" borderId="0" xfId="8" applyFont="1" applyBorder="1" applyAlignment="1">
      <alignment wrapText="1"/>
    </xf>
  </cellXfs>
  <cellStyles count="25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Percent" xfId="12" builtinId="5"/>
  </cellStyles>
  <dxfs count="0"/>
  <tableStyles count="0" defaultTableStyle="TableStyleMedium9" defaultPivotStyle="PivotStyleLight16"/>
  <colors>
    <mruColors>
      <color rgb="FFFFCF01"/>
      <color rgb="FF0000FF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u="none" strike="noStrike" baseline="0">
                <a:effectLst/>
              </a:rPr>
              <a:t>Brazilian soybean ending stocks increase on higher production</a:t>
            </a:r>
            <a:endParaRPr lang="en-US" sz="1050" b="1"/>
          </a:p>
        </c:rich>
      </c:tx>
      <c:layout>
        <c:manualLayout>
          <c:xMode val="edge"/>
          <c:yMode val="edge"/>
          <c:x val="1.0393280993413556E-2"/>
          <c:y val="1.2570177303835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31166288984313E-2"/>
          <c:y val="0.10226152666288021"/>
          <c:w val="0.85586348179042004"/>
          <c:h val="0.74386845062007101"/>
        </c:manualLayout>
      </c:layout>
      <c:barChart>
        <c:barDir val="col"/>
        <c:grouping val="stacked"/>
        <c:varyColors val="0"/>
        <c:ser>
          <c:idx val="11"/>
          <c:order val="1"/>
          <c:tx>
            <c:strRef>
              <c:f>Cover!$B$1</c:f>
              <c:strCache>
                <c:ptCount val="1"/>
                <c:pt idx="0">
                  <c:v>Ending stocks (thousand metric tons)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Cover!$B$2:$B$6</c:f>
              <c:numCache>
                <c:formatCode>_(* #,##0_);_(* \(#,##0\);_(* "-"??_);_(@_)</c:formatCode>
                <c:ptCount val="5"/>
                <c:pt idx="0">
                  <c:v>32696</c:v>
                </c:pt>
                <c:pt idx="1">
                  <c:v>32472</c:v>
                </c:pt>
                <c:pt idx="2">
                  <c:v>20736</c:v>
                </c:pt>
                <c:pt idx="3">
                  <c:v>23036</c:v>
                </c:pt>
                <c:pt idx="4">
                  <c:v>24335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2-4088-9865-BB2F9309B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433072"/>
        <c:axId val="310437336"/>
        <c:extLst/>
      </c:barChart>
      <c:lineChart>
        <c:grouping val="standard"/>
        <c:varyColors val="0"/>
        <c:ser>
          <c:idx val="10"/>
          <c:order val="0"/>
          <c:tx>
            <c:strRef>
              <c:f>Cover!$C$1</c:f>
              <c:strCache>
                <c:ptCount val="1"/>
                <c:pt idx="0">
                  <c:v>Production (thousand metric tons)</c:v>
                </c:pt>
              </c:strCache>
            </c:strRef>
          </c:tx>
          <c:spPr>
            <a:ln w="539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Cover!$A$2:$A$6</c:f>
              <c:strCache>
                <c:ptCount val="5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Cover!$C$2:$C$6</c:f>
              <c:numCache>
                <c:formatCode>_(* #,##0_);_(* \(#,##0\);_(* "-"??_);_(@_)</c:formatCode>
                <c:ptCount val="5"/>
                <c:pt idx="0">
                  <c:v>123400</c:v>
                </c:pt>
                <c:pt idx="1">
                  <c:v>119700</c:v>
                </c:pt>
                <c:pt idx="2">
                  <c:v>128500</c:v>
                </c:pt>
                <c:pt idx="3">
                  <c:v>137000</c:v>
                </c:pt>
                <c:pt idx="4">
                  <c:v>144000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2-4088-9865-BB2F9309B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25424"/>
        <c:axId val="403830688"/>
      </c:lineChart>
      <c:catAx>
        <c:axId val="12122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3830688"/>
        <c:crosses val="autoZero"/>
        <c:auto val="1"/>
        <c:lblAlgn val="ctr"/>
        <c:lblOffset val="100"/>
        <c:noMultiLvlLbl val="0"/>
      </c:catAx>
      <c:valAx>
        <c:axId val="40383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225424"/>
        <c:crosses val="autoZero"/>
        <c:crossBetween val="between"/>
      </c:valAx>
      <c:valAx>
        <c:axId val="310437336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0433072"/>
        <c:crosses val="max"/>
        <c:crossBetween val="between"/>
      </c:valAx>
      <c:catAx>
        <c:axId val="31043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310437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12711928172195E-2"/>
          <c:y val="0.89475009114525994"/>
          <c:w val="0.96934547009500782"/>
          <c:h val="3.4653910088063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Prices</a:t>
            </a:r>
            <a:r>
              <a:rPr lang="en-US" sz="1050" b="1" baseline="0"/>
              <a:t> continue to </a:t>
            </a:r>
            <a:r>
              <a:rPr lang="en-US" sz="1050" b="1"/>
              <a:t>rise for major oilseeds into 2021/22 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497219151012215E-2"/>
          <c:y val="0.15132696583017688"/>
          <c:w val="0.93621082286837809"/>
          <c:h val="0.55652310833794683"/>
        </c:manualLayout>
      </c:layout>
      <c:lineChart>
        <c:grouping val="standard"/>
        <c:varyColors val="0"/>
        <c:ser>
          <c:idx val="0"/>
          <c:order val="0"/>
          <c:tx>
            <c:strRef>
              <c:f>'Oil Crops Char Gallery Fig 1'!$B$1</c:f>
              <c:strCache>
                <c:ptCount val="1"/>
                <c:pt idx="0">
                  <c:v>Soybeans price per bushel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'Oil Crops Char Gallery Fig 1'!$A$2:$A$13</c:f>
              <c:strCache>
                <c:ptCount val="12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</c:strCache>
            </c:strRef>
          </c:cat>
          <c:val>
            <c:numRef>
              <c:f>'Oil Crops Char Gallery Fig 1'!$B$2:$B$13</c:f>
              <c:numCache>
                <c:formatCode>General</c:formatCode>
                <c:ptCount val="12"/>
                <c:pt idx="0">
                  <c:v>11.3</c:v>
                </c:pt>
                <c:pt idx="1">
                  <c:v>12.5</c:v>
                </c:pt>
                <c:pt idx="2">
                  <c:v>14.4</c:v>
                </c:pt>
                <c:pt idx="3">
                  <c:v>13</c:v>
                </c:pt>
                <c:pt idx="4">
                  <c:v>10.1</c:v>
                </c:pt>
                <c:pt idx="5">
                  <c:v>8.9499999999999993</c:v>
                </c:pt>
                <c:pt idx="6">
                  <c:v>9.4700000000000006</c:v>
                </c:pt>
                <c:pt idx="7">
                  <c:v>9.33</c:v>
                </c:pt>
                <c:pt idx="8">
                  <c:v>8.48</c:v>
                </c:pt>
                <c:pt idx="9">
                  <c:v>8.57</c:v>
                </c:pt>
                <c:pt idx="10">
                  <c:v>11.25</c:v>
                </c:pt>
                <c:pt idx="11">
                  <c:v>13.85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FB-46DD-A9E1-8D4B47CDD045}"/>
            </c:ext>
          </c:extLst>
        </c:ser>
        <c:ser>
          <c:idx val="1"/>
          <c:order val="1"/>
          <c:tx>
            <c:strRef>
              <c:f>'Oil Crops Char Gallery Fig 1'!$C$1</c:f>
              <c:strCache>
                <c:ptCount val="1"/>
                <c:pt idx="0">
                  <c:v>Sunflowerseed price per hundredweight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'Oil Crops Char Gallery Fig 1'!$C$2:$C$13</c:f>
              <c:numCache>
                <c:formatCode>General</c:formatCode>
                <c:ptCount val="12"/>
                <c:pt idx="0">
                  <c:v>23.3</c:v>
                </c:pt>
                <c:pt idx="1">
                  <c:v>29.1</c:v>
                </c:pt>
                <c:pt idx="2">
                  <c:v>25.4</c:v>
                </c:pt>
                <c:pt idx="3">
                  <c:v>21.4</c:v>
                </c:pt>
                <c:pt idx="4">
                  <c:v>21.7</c:v>
                </c:pt>
                <c:pt idx="5">
                  <c:v>19.600000000000001</c:v>
                </c:pt>
                <c:pt idx="6">
                  <c:v>17.399999999999999</c:v>
                </c:pt>
                <c:pt idx="7">
                  <c:v>17.2</c:v>
                </c:pt>
                <c:pt idx="8">
                  <c:v>17.399999999999999</c:v>
                </c:pt>
                <c:pt idx="9">
                  <c:v>19.5</c:v>
                </c:pt>
                <c:pt idx="10">
                  <c:v>21.150000000000002</c:v>
                </c:pt>
                <c:pt idx="11">
                  <c:v>24.650000000000002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B-46DD-A9E1-8D4B47CDD045}"/>
            </c:ext>
          </c:extLst>
        </c:ser>
        <c:ser>
          <c:idx val="2"/>
          <c:order val="2"/>
          <c:tx>
            <c:strRef>
              <c:f>'Oil Crops Char Gallery Fig 1'!$D$1</c:f>
              <c:strCache>
                <c:ptCount val="1"/>
                <c:pt idx="0">
                  <c:v>Canola price per hundredweight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'Oil Crops Char Gallery Fig 1'!$D$2:$D$13</c:f>
              <c:numCache>
                <c:formatCode>General</c:formatCode>
                <c:ptCount val="12"/>
                <c:pt idx="0">
                  <c:v>19.3</c:v>
                </c:pt>
                <c:pt idx="1">
                  <c:v>24</c:v>
                </c:pt>
                <c:pt idx="2">
                  <c:v>26.5</c:v>
                </c:pt>
                <c:pt idx="3">
                  <c:v>20.6</c:v>
                </c:pt>
                <c:pt idx="4">
                  <c:v>16.899999999999999</c:v>
                </c:pt>
                <c:pt idx="5">
                  <c:v>15.6</c:v>
                </c:pt>
                <c:pt idx="6">
                  <c:v>16.600000000000001</c:v>
                </c:pt>
                <c:pt idx="7">
                  <c:v>17.5</c:v>
                </c:pt>
                <c:pt idx="8">
                  <c:v>15.8</c:v>
                </c:pt>
                <c:pt idx="9">
                  <c:v>14.8</c:v>
                </c:pt>
                <c:pt idx="10">
                  <c:v>18.3</c:v>
                </c:pt>
                <c:pt idx="11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FB-46DD-A9E1-8D4B47CDD045}"/>
            </c:ext>
          </c:extLst>
        </c:ser>
        <c:ser>
          <c:idx val="3"/>
          <c:order val="3"/>
          <c:tx>
            <c:strRef>
              <c:f>'Oil Crops Char Gallery Fig 1'!$E$1</c:f>
              <c:strCache>
                <c:ptCount val="1"/>
                <c:pt idx="0">
                  <c:v>Peanuts price per pound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'Oil Crops Char Gallery Fig 1'!$E$2:$E$13</c:f>
              <c:numCache>
                <c:formatCode>General</c:formatCode>
                <c:ptCount val="12"/>
                <c:pt idx="0">
                  <c:v>22.5</c:v>
                </c:pt>
                <c:pt idx="1">
                  <c:v>31.8</c:v>
                </c:pt>
                <c:pt idx="2">
                  <c:v>30.1</c:v>
                </c:pt>
                <c:pt idx="3">
                  <c:v>24.9</c:v>
                </c:pt>
                <c:pt idx="4">
                  <c:v>22</c:v>
                </c:pt>
                <c:pt idx="5">
                  <c:v>19.3</c:v>
                </c:pt>
                <c:pt idx="6">
                  <c:v>19.7</c:v>
                </c:pt>
                <c:pt idx="7">
                  <c:v>22.9</c:v>
                </c:pt>
                <c:pt idx="8">
                  <c:v>21.5</c:v>
                </c:pt>
                <c:pt idx="9">
                  <c:v>20.5</c:v>
                </c:pt>
                <c:pt idx="10">
                  <c:v>21</c:v>
                </c:pt>
                <c:pt idx="11">
                  <c:v>20.75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FB-46DD-A9E1-8D4B47CDD045}"/>
            </c:ext>
          </c:extLst>
        </c:ser>
        <c:ser>
          <c:idx val="4"/>
          <c:order val="4"/>
          <c:tx>
            <c:strRef>
              <c:f>'Oil Crops Char Gallery Fig 1'!$F$1</c:f>
              <c:strCache>
                <c:ptCount val="1"/>
                <c:pt idx="0">
                  <c:v>Flaxseed price per bushel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'Oil Crops Char Gallery Fig 1'!$F$2:$F$13</c:f>
              <c:numCache>
                <c:formatCode>General</c:formatCode>
                <c:ptCount val="12"/>
                <c:pt idx="0">
                  <c:v>12.2</c:v>
                </c:pt>
                <c:pt idx="1">
                  <c:v>13.9</c:v>
                </c:pt>
                <c:pt idx="2">
                  <c:v>13.8</c:v>
                </c:pt>
                <c:pt idx="3">
                  <c:v>13.8</c:v>
                </c:pt>
                <c:pt idx="4">
                  <c:v>11.8</c:v>
                </c:pt>
                <c:pt idx="5">
                  <c:v>8.9499999999999993</c:v>
                </c:pt>
                <c:pt idx="6">
                  <c:v>8</c:v>
                </c:pt>
                <c:pt idx="7">
                  <c:v>9.5299999999999994</c:v>
                </c:pt>
                <c:pt idx="8">
                  <c:v>9.89</c:v>
                </c:pt>
                <c:pt idx="9">
                  <c:v>9.15</c:v>
                </c:pt>
                <c:pt idx="10">
                  <c:v>12</c:v>
                </c:pt>
                <c:pt idx="11">
                  <c:v>15.25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FB-46DD-A9E1-8D4B47CD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099791"/>
        <c:axId val="868010095"/>
      </c:lineChart>
      <c:catAx>
        <c:axId val="98709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3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8010095"/>
        <c:crosses val="autoZero"/>
        <c:auto val="1"/>
        <c:lblAlgn val="ctr"/>
        <c:lblOffset val="100"/>
        <c:noMultiLvlLbl val="0"/>
      </c:catAx>
      <c:valAx>
        <c:axId val="86801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Season</a:t>
                </a:r>
                <a:r>
                  <a:rPr lang="en-US" sz="900" baseline="0"/>
                  <a:t>-average price, d</a:t>
                </a:r>
                <a:r>
                  <a:rPr lang="en-US" sz="900"/>
                  <a:t>ollars</a:t>
                </a:r>
              </a:p>
            </c:rich>
          </c:tx>
          <c:layout>
            <c:manualLayout>
              <c:xMode val="edge"/>
              <c:yMode val="edge"/>
              <c:x val="4.0459920961446669E-3"/>
              <c:y val="4.60702141565516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87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57199899129424E-2"/>
          <c:y val="0.82520066632592237"/>
          <c:w val="0.96539153693823254"/>
          <c:h val="6.8859993001491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Global</a:t>
            </a:r>
            <a:r>
              <a:rPr lang="en-US" sz="1050" b="1" baseline="0"/>
              <a:t> rapeseed production strong through 2021/22 marketing year</a:t>
            </a:r>
            <a:endParaRPr lang="en-US" sz="1050" b="1"/>
          </a:p>
        </c:rich>
      </c:tx>
      <c:layout>
        <c:manualLayout>
          <c:xMode val="edge"/>
          <c:yMode val="edge"/>
          <c:x val="1.6604400166044003E-2"/>
          <c:y val="9.70873786407766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138250214071557E-2"/>
          <c:y val="0.13671183033495574"/>
          <c:w val="0.92187464660867147"/>
          <c:h val="0.602705533020493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'Oil Crops Char Gallery Fig  2'!$A$3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'Oil Crops Char Gallery Fig  2'!$B$1:$F$1</c:f>
              <c:strCache>
                <c:ptCount val="5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'Oil Crops Char Gallery Fig  2'!$B$3:$F$3</c:f>
              <c:numCache>
                <c:formatCode>0.00</c:formatCode>
                <c:ptCount val="5"/>
                <c:pt idx="0">
                  <c:v>21.457999999999998</c:v>
                </c:pt>
                <c:pt idx="1">
                  <c:v>20.724</c:v>
                </c:pt>
                <c:pt idx="2">
                  <c:v>19.606999999999999</c:v>
                </c:pt>
                <c:pt idx="3">
                  <c:v>19</c:v>
                </c:pt>
                <c:pt idx="4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1-4ADA-90F2-707255D023F2}"/>
            </c:ext>
          </c:extLst>
        </c:ser>
        <c:ser>
          <c:idx val="3"/>
          <c:order val="1"/>
          <c:tx>
            <c:strRef>
              <c:f>'Oil Crops Char Gallery Fig  2'!$A$5</c:f>
              <c:strCache>
                <c:ptCount val="1"/>
                <c:pt idx="0">
                  <c:v>European Union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'Oil Crops Char Gallery Fig  2'!$B$1:$F$1</c:f>
              <c:strCache>
                <c:ptCount val="5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'Oil Crops Char Gallery Fig  2'!$B$5:$F$5</c:f>
              <c:numCache>
                <c:formatCode>0.00</c:formatCode>
                <c:ptCount val="5"/>
                <c:pt idx="0">
                  <c:v>20.016999999999999</c:v>
                </c:pt>
                <c:pt idx="1">
                  <c:v>18.047999999999998</c:v>
                </c:pt>
                <c:pt idx="2">
                  <c:v>15.241</c:v>
                </c:pt>
                <c:pt idx="3">
                  <c:v>16.170000000000002</c:v>
                </c:pt>
                <c:pt idx="4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1-4ADA-90F2-707255D023F2}"/>
            </c:ext>
          </c:extLst>
        </c:ser>
        <c:ser>
          <c:idx val="2"/>
          <c:order val="2"/>
          <c:tx>
            <c:strRef>
              <c:f>'Oil Crops Char Gallery Fig  2'!$A$4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'Oil Crops Char Gallery Fig  2'!$B$1:$F$1</c:f>
              <c:strCache>
                <c:ptCount val="5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'Oil Crops Char Gallery Fig  2'!$B$4:$F$4</c:f>
              <c:numCache>
                <c:formatCode>0.00</c:formatCode>
                <c:ptCount val="5"/>
                <c:pt idx="0">
                  <c:v>13.273999999999999</c:v>
                </c:pt>
                <c:pt idx="1">
                  <c:v>13.281000000000001</c:v>
                </c:pt>
                <c:pt idx="2">
                  <c:v>13.484999999999999</c:v>
                </c:pt>
                <c:pt idx="3">
                  <c:v>13.7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91-4ADA-90F2-707255D023F2}"/>
            </c:ext>
          </c:extLst>
        </c:ser>
        <c:ser>
          <c:idx val="4"/>
          <c:order val="3"/>
          <c:tx>
            <c:strRef>
              <c:f>'Oil Crops Char Gallery Fig  2'!$A$6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'Oil Crops Char Gallery Fig  2'!$B$1:$F$1</c:f>
              <c:strCache>
                <c:ptCount val="5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'Oil Crops Char Gallery Fig  2'!$B$6:$F$6</c:f>
              <c:numCache>
                <c:formatCode>0.00</c:formatCode>
                <c:ptCount val="5"/>
                <c:pt idx="0">
                  <c:v>7.1</c:v>
                </c:pt>
                <c:pt idx="1">
                  <c:v>7.5</c:v>
                </c:pt>
                <c:pt idx="2">
                  <c:v>7.4</c:v>
                </c:pt>
                <c:pt idx="3">
                  <c:v>8.5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91-4ADA-90F2-707255D023F2}"/>
            </c:ext>
          </c:extLst>
        </c:ser>
        <c:ser>
          <c:idx val="0"/>
          <c:order val="4"/>
          <c:tx>
            <c:strRef>
              <c:f>'Oil Crops Char Gallery Fig  2'!$A$2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'Oil Crops Char Gallery Fig  2'!$B$1:$F$1</c:f>
              <c:strCache>
                <c:ptCount val="5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'Oil Crops Char Gallery Fig  2'!$B$2:$F$2</c:f>
              <c:numCache>
                <c:formatCode>0.00</c:formatCode>
                <c:ptCount val="5"/>
                <c:pt idx="0">
                  <c:v>3.8929999999999998</c:v>
                </c:pt>
                <c:pt idx="1">
                  <c:v>2.3660000000000001</c:v>
                </c:pt>
                <c:pt idx="2">
                  <c:v>2.33</c:v>
                </c:pt>
                <c:pt idx="3">
                  <c:v>4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91-4ADA-90F2-707255D023F2}"/>
            </c:ext>
          </c:extLst>
        </c:ser>
        <c:ser>
          <c:idx val="6"/>
          <c:order val="5"/>
          <c:tx>
            <c:strRef>
              <c:f>'Oil Crops Char Gallery Fig  2'!$A$8</c:f>
              <c:strCache>
                <c:ptCount val="1"/>
                <c:pt idx="0">
                  <c:v>Ukraine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'Oil Crops Char Gallery Fig  2'!$B$1:$F$1</c:f>
              <c:strCache>
                <c:ptCount val="5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'Oil Crops Char Gallery Fig  2'!$B$8:$F$8</c:f>
              <c:numCache>
                <c:formatCode>0.00</c:formatCode>
                <c:ptCount val="5"/>
                <c:pt idx="0">
                  <c:v>2.2170000000000001</c:v>
                </c:pt>
                <c:pt idx="1">
                  <c:v>2.85</c:v>
                </c:pt>
                <c:pt idx="2">
                  <c:v>3.4649999999999999</c:v>
                </c:pt>
                <c:pt idx="3">
                  <c:v>2.75</c:v>
                </c:pt>
                <c:pt idx="4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91-4ADA-90F2-707255D023F2}"/>
            </c:ext>
          </c:extLst>
        </c:ser>
        <c:ser>
          <c:idx val="5"/>
          <c:order val="6"/>
          <c:tx>
            <c:strRef>
              <c:f>'Oil Crops Char Gallery Fig  2'!$A$7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'Oil Crops Char Gallery Fig  2'!$B$1:$F$1</c:f>
              <c:strCache>
                <c:ptCount val="5"/>
                <c:pt idx="0">
                  <c:v>2017/2018</c:v>
                </c:pt>
                <c:pt idx="1">
                  <c:v>2018/2019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</c:strCache>
            </c:strRef>
          </c:cat>
          <c:val>
            <c:numRef>
              <c:f>'Oil Crops Char Gallery Fig  2'!$B$7:$F$7</c:f>
              <c:numCache>
                <c:formatCode>0.00</c:formatCode>
                <c:ptCount val="5"/>
                <c:pt idx="0">
                  <c:v>1.4970000000000001</c:v>
                </c:pt>
                <c:pt idx="1">
                  <c:v>1.9890000000000001</c:v>
                </c:pt>
                <c:pt idx="2">
                  <c:v>2.04</c:v>
                </c:pt>
                <c:pt idx="3">
                  <c:v>2.5670000000000002</c:v>
                </c:pt>
                <c:pt idx="4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91-4ADA-90F2-707255D02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578175"/>
        <c:axId val="1372874559"/>
      </c:barChart>
      <c:catAx>
        <c:axId val="816578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72874559"/>
        <c:crosses val="autoZero"/>
        <c:auto val="1"/>
        <c:lblAlgn val="ctr"/>
        <c:lblOffset val="100"/>
        <c:noMultiLvlLbl val="0"/>
      </c:catAx>
      <c:valAx>
        <c:axId val="1372874559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7684993609920801E-2"/>
              <c:y val="6.70906913334862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16578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179151018326942E-2"/>
          <c:y val="0.8855030621172354"/>
          <c:w val="0.95219072832478491"/>
          <c:h val="5.5486208301441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u="none" strike="noStrike" baseline="0">
                <a:effectLst/>
              </a:rPr>
              <a:t>Costs and returns of U.S. Soybean Production, 2012–2020</a:t>
            </a:r>
            <a:endParaRPr lang="en-US" sz="1050" b="1"/>
          </a:p>
        </c:rich>
      </c:tx>
      <c:layout>
        <c:manualLayout>
          <c:xMode val="edge"/>
          <c:yMode val="edge"/>
          <c:x val="1.4957264957264958E-2"/>
          <c:y val="1.5609756097560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64158168753485E-2"/>
          <c:y val="0.18915662650602411"/>
          <c:w val="0.90794859658936078"/>
          <c:h val="0.61953857330333706"/>
        </c:manualLayout>
      </c:layout>
      <c:lineChart>
        <c:grouping val="standard"/>
        <c:varyColors val="0"/>
        <c:ser>
          <c:idx val="0"/>
          <c:order val="0"/>
          <c:tx>
            <c:strRef>
              <c:f>'Oil Crops Char Gallery Fig  3'!$A$2</c:f>
              <c:strCache>
                <c:ptCount val="1"/>
                <c:pt idx="0">
                  <c:v>Gross value of production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'Oil Crops Char Gallery Fig  3'!$B$1:$J$1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'Oil Crops Char Gallery Fig  3'!$B$2:$J$2</c:f>
              <c:numCache>
                <c:formatCode>General</c:formatCode>
                <c:ptCount val="9"/>
                <c:pt idx="0">
                  <c:v>596.82000000000005</c:v>
                </c:pt>
                <c:pt idx="1">
                  <c:v>571.04</c:v>
                </c:pt>
                <c:pt idx="2">
                  <c:v>522.24</c:v>
                </c:pt>
                <c:pt idx="3">
                  <c:v>430.56</c:v>
                </c:pt>
                <c:pt idx="4">
                  <c:v>491.92</c:v>
                </c:pt>
                <c:pt idx="5">
                  <c:v>454.72</c:v>
                </c:pt>
                <c:pt idx="6">
                  <c:v>458.91</c:v>
                </c:pt>
                <c:pt idx="7">
                  <c:v>429.34</c:v>
                </c:pt>
                <c:pt idx="8">
                  <c:v>515.4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B5-4614-9E86-39EA6C7E14D7}"/>
            </c:ext>
          </c:extLst>
        </c:ser>
        <c:ser>
          <c:idx val="1"/>
          <c:order val="1"/>
          <c:tx>
            <c:strRef>
              <c:f>'Oil Crops Char Gallery Fig  3'!$A$3</c:f>
              <c:strCache>
                <c:ptCount val="1"/>
                <c:pt idx="0">
                  <c:v>Operating costs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'Oil Crops Char Gallery Fig  3'!$B$1:$J$1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'Oil Crops Char Gallery Fig  3'!$B$3:$J$3</c:f>
              <c:numCache>
                <c:formatCode>General</c:formatCode>
                <c:ptCount val="9"/>
                <c:pt idx="0">
                  <c:v>172.29</c:v>
                </c:pt>
                <c:pt idx="1">
                  <c:v>176.63</c:v>
                </c:pt>
                <c:pt idx="2">
                  <c:v>176.79</c:v>
                </c:pt>
                <c:pt idx="3">
                  <c:v>166.97</c:v>
                </c:pt>
                <c:pt idx="4">
                  <c:v>160.31</c:v>
                </c:pt>
                <c:pt idx="5">
                  <c:v>158.08000000000001</c:v>
                </c:pt>
                <c:pt idx="6">
                  <c:v>187.16</c:v>
                </c:pt>
                <c:pt idx="7">
                  <c:v>188.95</c:v>
                </c:pt>
                <c:pt idx="8">
                  <c:v>185.12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5-4614-9E86-39EA6C7E14D7}"/>
            </c:ext>
          </c:extLst>
        </c:ser>
        <c:ser>
          <c:idx val="2"/>
          <c:order val="2"/>
          <c:tx>
            <c:strRef>
              <c:f>'Oil Crops Char Gallery Fig  3'!$A$4</c:f>
              <c:strCache>
                <c:ptCount val="1"/>
                <c:pt idx="0">
                  <c:v>Allocated overhead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'Oil Crops Char Gallery Fig  3'!$B$1:$J$1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'Oil Crops Char Gallery Fig  3'!$B$4:$J$4</c:f>
              <c:numCache>
                <c:formatCode>General</c:formatCode>
                <c:ptCount val="9"/>
                <c:pt idx="0">
                  <c:v>265.3</c:v>
                </c:pt>
                <c:pt idx="1">
                  <c:v>281.68</c:v>
                </c:pt>
                <c:pt idx="2">
                  <c:v>289.93</c:v>
                </c:pt>
                <c:pt idx="3">
                  <c:v>296.33</c:v>
                </c:pt>
                <c:pt idx="4">
                  <c:v>283.14999999999998</c:v>
                </c:pt>
                <c:pt idx="5">
                  <c:v>285.42</c:v>
                </c:pt>
                <c:pt idx="6">
                  <c:v>308.7</c:v>
                </c:pt>
                <c:pt idx="7">
                  <c:v>314.77999999999997</c:v>
                </c:pt>
                <c:pt idx="8">
                  <c:v>315.26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B5-4614-9E86-39EA6C7E14D7}"/>
            </c:ext>
          </c:extLst>
        </c:ser>
        <c:ser>
          <c:idx val="3"/>
          <c:order val="3"/>
          <c:tx>
            <c:strRef>
              <c:f>'Oil Crops Char Gallery Fig  3'!$A$5</c:f>
              <c:strCache>
                <c:ptCount val="1"/>
                <c:pt idx="0">
                  <c:v>Costs listed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'Oil Crops Char Gallery Fig  3'!$B$1:$J$1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'Oil Crops Char Gallery Fig  3'!$B$5:$J$5</c:f>
              <c:numCache>
                <c:formatCode>General</c:formatCode>
                <c:ptCount val="9"/>
                <c:pt idx="0">
                  <c:v>437.59</c:v>
                </c:pt>
                <c:pt idx="1">
                  <c:v>458.31</c:v>
                </c:pt>
                <c:pt idx="2">
                  <c:v>466.72</c:v>
                </c:pt>
                <c:pt idx="3">
                  <c:v>463.3</c:v>
                </c:pt>
                <c:pt idx="4">
                  <c:v>443.46</c:v>
                </c:pt>
                <c:pt idx="5">
                  <c:v>443.5</c:v>
                </c:pt>
                <c:pt idx="6">
                  <c:v>495.86</c:v>
                </c:pt>
                <c:pt idx="7">
                  <c:v>503.73</c:v>
                </c:pt>
                <c:pt idx="8">
                  <c:v>500.38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B5-4614-9E86-39EA6C7E1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345168"/>
        <c:axId val="880499456"/>
      </c:lineChart>
      <c:catAx>
        <c:axId val="77634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80499456"/>
        <c:crosses val="autoZero"/>
        <c:auto val="1"/>
        <c:lblAlgn val="ctr"/>
        <c:lblOffset val="100"/>
        <c:noMultiLvlLbl val="0"/>
      </c:catAx>
      <c:valAx>
        <c:axId val="880499456"/>
        <c:scaling>
          <c:orientation val="minMax"/>
          <c:max val="6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acre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5745844269466316E-2"/>
              <c:y val="9.3715690416746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7634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26982037802461E-2"/>
          <c:y val="0.87554811636569374"/>
          <c:w val="0.96828040950893635"/>
          <c:h val="6.2756854188407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178526</xdr:rowOff>
    </xdr:from>
    <xdr:to>
      <xdr:col>7</xdr:col>
      <xdr:colOff>352426</xdr:colOff>
      <xdr:row>35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D5B825-5211-461E-A8FE-E227F5949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0.01147</cdr:x>
      <cdr:y>0.95116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16CFA74-92FD-44CB-A3C5-48032582B9B3}"/>
            </a:ext>
          </a:extLst>
        </cdr:cNvPr>
        <cdr:cNvSpPr txBox="1"/>
      </cdr:nvSpPr>
      <cdr:spPr>
        <a:xfrm xmlns:a="http://schemas.openxmlformats.org/drawingml/2006/main">
          <a:off x="99060" y="5765901"/>
          <a:ext cx="8539598" cy="2960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Source: USDA, Economic Research Service using data from USDA, Foreign Agricultural Service, </a:t>
          </a:r>
          <a:r>
            <a:rPr lang="en-US" sz="1100" i="1">
              <a:effectLst/>
              <a:latin typeface="+mn-lt"/>
              <a:ea typeface="+mn-ea"/>
              <a:cs typeface="+mn-cs"/>
            </a:rPr>
            <a:t>Oilseeds Markets and Trade</a:t>
          </a:r>
          <a:r>
            <a:rPr lang="en-US" sz="1100">
              <a:effectLst/>
              <a:latin typeface="+mn-lt"/>
              <a:ea typeface="+mn-ea"/>
              <a:cs typeface="+mn-cs"/>
            </a:rPr>
            <a:t>.</a:t>
          </a:r>
        </a:p>
      </cdr:txBody>
    </cdr:sp>
  </cdr:relSizeAnchor>
  <cdr:relSizeAnchor xmlns:cdr="http://schemas.openxmlformats.org/drawingml/2006/chartDrawing">
    <cdr:from>
      <cdr:x>0.02947</cdr:x>
      <cdr:y>0.01764</cdr:y>
    </cdr:from>
    <cdr:to>
      <cdr:x>0.07825</cdr:x>
      <cdr:y>0.04233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A0DA0C7-41AE-4027-B128-C490D3ECEEA5}"/>
            </a:ext>
          </a:extLst>
        </cdr:cNvPr>
        <cdr:cNvSpPr txBox="1"/>
      </cdr:nvSpPr>
      <cdr:spPr>
        <a:xfrm xmlns:a="http://schemas.openxmlformats.org/drawingml/2006/main">
          <a:off x="368300" y="127000"/>
          <a:ext cx="60960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0.00648</cdr:x>
      <cdr:y>0.04755</cdr:y>
    </cdr:from>
    <cdr:to>
      <cdr:x>0.14652</cdr:x>
      <cdr:y>0.0862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0FBEB2B-0FB4-4D33-90D1-5B8C49639C56}"/>
            </a:ext>
          </a:extLst>
        </cdr:cNvPr>
        <cdr:cNvSpPr txBox="1"/>
      </cdr:nvSpPr>
      <cdr:spPr>
        <a:xfrm xmlns:a="http://schemas.openxmlformats.org/drawingml/2006/main">
          <a:off x="55971" y="288268"/>
          <a:ext cx="1209793" cy="234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Production</a:t>
          </a:r>
        </a:p>
      </cdr:txBody>
    </cdr:sp>
  </cdr:relSizeAnchor>
  <cdr:relSizeAnchor xmlns:cdr="http://schemas.openxmlformats.org/drawingml/2006/chartDrawing">
    <cdr:from>
      <cdr:x>0.8869</cdr:x>
      <cdr:y>0.04626</cdr:y>
    </cdr:from>
    <cdr:to>
      <cdr:x>1</cdr:x>
      <cdr:y>0.09356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CB282A3E-3C82-4C46-96C0-15DD5905488E}"/>
            </a:ext>
          </a:extLst>
        </cdr:cNvPr>
        <cdr:cNvSpPr txBox="1"/>
      </cdr:nvSpPr>
      <cdr:spPr>
        <a:xfrm xmlns:a="http://schemas.openxmlformats.org/drawingml/2006/main">
          <a:off x="7543800" y="250824"/>
          <a:ext cx="962025" cy="256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Ending stocks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45845</xdr:colOff>
      <xdr:row>13</xdr:row>
      <xdr:rowOff>110812</xdr:rowOff>
    </xdr:from>
    <xdr:to>
      <xdr:col>3</xdr:col>
      <xdr:colOff>472440</xdr:colOff>
      <xdr:row>36</xdr:row>
      <xdr:rowOff>80877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EF3E59-3528-42E0-ADB8-6A5A9A6E9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0.91313</cdr:y>
    </cdr:from>
    <cdr:to>
      <cdr:x>1</cdr:x>
      <cdr:y>0.98667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336A2F6-61FA-44BC-95C5-8D1F924E2E7C}"/>
            </a:ext>
          </a:extLst>
        </cdr:cNvPr>
        <cdr:cNvSpPr txBox="1"/>
      </cdr:nvSpPr>
      <cdr:spPr>
        <a:xfrm xmlns:a="http://schemas.openxmlformats.org/drawingml/2006/main">
          <a:off x="0" y="3653468"/>
          <a:ext cx="5730115" cy="2942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Research Service using data from World Agricultural Outlook Board,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34</xdr:row>
      <xdr:rowOff>167640</xdr:rowOff>
    </xdr:from>
    <xdr:to>
      <xdr:col>2</xdr:col>
      <xdr:colOff>271780</xdr:colOff>
      <xdr:row>36</xdr:row>
      <xdr:rowOff>12691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3D1702-E2CB-495D-B594-338C6D3721FD}"/>
            </a:ext>
          </a:extLst>
        </xdr:cNvPr>
        <xdr:cNvSpPr txBox="1"/>
      </xdr:nvSpPr>
      <xdr:spPr>
        <a:xfrm>
          <a:off x="198120" y="6385560"/>
          <a:ext cx="1811020" cy="210811"/>
        </a:xfrm>
        <a:prstGeom prst="rect">
          <a:avLst/>
        </a:prstGeom>
        <a:noFill/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USDA, Economic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Research Service using data from USDA, Foreign Agricultural Service, </a:t>
          </a:r>
          <a:r>
            <a:rPr lang="en-US" sz="800" i="1" baseline="0">
              <a:latin typeface="Arial" panose="020B0604020202020204" pitchFamily="34" charset="0"/>
              <a:cs typeface="Arial" panose="020B0604020202020204" pitchFamily="34" charset="0"/>
            </a:rPr>
            <a:t>Oilseeds Markets and Trade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30480</xdr:colOff>
      <xdr:row>9</xdr:row>
      <xdr:rowOff>53340</xdr:rowOff>
    </xdr:from>
    <xdr:to>
      <xdr:col>8</xdr:col>
      <xdr:colOff>594360</xdr:colOff>
      <xdr:row>33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006640-F4E8-419B-ACA2-1B3933D90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0.92323</cdr:y>
    </cdr:from>
    <cdr:to>
      <cdr:x>1</cdr:x>
      <cdr:y>0.99663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DD229DC-25CB-4FDD-8DFD-D181432A70F3}"/>
            </a:ext>
          </a:extLst>
        </cdr:cNvPr>
        <cdr:cNvSpPr txBox="1"/>
      </cdr:nvSpPr>
      <cdr:spPr>
        <a:xfrm xmlns:a="http://schemas.openxmlformats.org/drawingml/2006/main">
          <a:off x="0" y="3482340"/>
          <a:ext cx="6118860" cy="2768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Research Service using data from USDA, Foreign Agricultural Service,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Oilseeds Markets and Trade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</xdr:row>
      <xdr:rowOff>7620</xdr:rowOff>
    </xdr:from>
    <xdr:to>
      <xdr:col>9</xdr:col>
      <xdr:colOff>502920</xdr:colOff>
      <xdr:row>30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848789-C3AA-4F6C-AB97-181840AC5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0.02248</cdr:x>
      <cdr:y>0.93332</cdr:y>
    </cdr:from>
    <cdr:to>
      <cdr:x>0.99902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08928CD-104C-4D3E-A8E3-9320427141AC}"/>
            </a:ext>
          </a:extLst>
        </cdr:cNvPr>
        <cdr:cNvSpPr txBox="1"/>
      </cdr:nvSpPr>
      <cdr:spPr>
        <a:xfrm xmlns:a="http://schemas.openxmlformats.org/drawingml/2006/main">
          <a:off x="175260" y="3563071"/>
          <a:ext cx="7612380" cy="2545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Source: USDA, Economic Research Service, </a:t>
          </a:r>
          <a:r>
            <a:rPr lang="en-US" sz="1100" i="1">
              <a:effectLst/>
              <a:latin typeface="+mn-lt"/>
              <a:ea typeface="+mn-ea"/>
              <a:cs typeface="+mn-cs"/>
            </a:rPr>
            <a:t>Agricultural Management Survey</a:t>
          </a:r>
          <a:r>
            <a:rPr lang="en-US" sz="1100">
              <a:effectLst/>
              <a:latin typeface="+mn-lt"/>
              <a:ea typeface="+mn-ea"/>
              <a:cs typeface="+mn-cs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Marquee">
    <a:dk1>
      <a:srgbClr val="000000"/>
    </a:dk1>
    <a:lt1>
      <a:sysClr val="window" lastClr="FFFFFF"/>
    </a:lt1>
    <a:dk2>
      <a:srgbClr val="5E5E5E"/>
    </a:dk2>
    <a:lt2>
      <a:srgbClr val="DDDDDD"/>
    </a:lt2>
    <a:accent1>
      <a:srgbClr val="418AB3"/>
    </a:accent1>
    <a:accent2>
      <a:srgbClr val="A6B727"/>
    </a:accent2>
    <a:accent3>
      <a:srgbClr val="F69200"/>
    </a:accent3>
    <a:accent4>
      <a:srgbClr val="838383"/>
    </a:accent4>
    <a:accent5>
      <a:srgbClr val="FEC306"/>
    </a:accent5>
    <a:accent6>
      <a:srgbClr val="DF5327"/>
    </a:accent6>
    <a:hlink>
      <a:srgbClr val="F59E00"/>
    </a:hlink>
    <a:folHlink>
      <a:srgbClr val="B2B2B2"/>
    </a:folHlink>
  </a:clrScheme>
  <a:fontScheme name="Office">
    <a:majorFont>
      <a:latin typeface="Calibri Light" panose="020F0302020204030204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>
      <selection activeCell="A19" sqref="A19"/>
    </sheetView>
  </sheetViews>
  <sheetFormatPr defaultColWidth="9.77734375" defaultRowHeight="13.8" x14ac:dyDescent="0.25"/>
  <cols>
    <col min="1" max="1" width="159.6640625" style="180" bestFit="1" customWidth="1"/>
    <col min="2" max="16384" width="9.77734375" style="17"/>
  </cols>
  <sheetData>
    <row r="1" spans="1:3" ht="44.25" customHeight="1" x14ac:dyDescent="0.25">
      <c r="A1" s="174"/>
    </row>
    <row r="2" spans="1:3" x14ac:dyDescent="0.25">
      <c r="A2" s="175" t="s">
        <v>94</v>
      </c>
    </row>
    <row r="3" spans="1:3" s="18" customFormat="1" x14ac:dyDescent="0.25">
      <c r="A3" s="176"/>
    </row>
    <row r="4" spans="1:3" x14ac:dyDescent="0.25">
      <c r="A4" s="175" t="s">
        <v>95</v>
      </c>
    </row>
    <row r="5" spans="1:3" x14ac:dyDescent="0.25">
      <c r="A5" s="177">
        <f ca="1">TODAY()</f>
        <v>44368</v>
      </c>
      <c r="B5" s="19"/>
    </row>
    <row r="6" spans="1:3" s="18" customFormat="1" x14ac:dyDescent="0.25">
      <c r="A6" s="176"/>
      <c r="B6" s="19"/>
      <c r="C6" s="20"/>
    </row>
    <row r="7" spans="1:3" x14ac:dyDescent="0.25">
      <c r="A7" s="178" t="s">
        <v>149</v>
      </c>
      <c r="B7" s="21"/>
      <c r="C7" s="18"/>
    </row>
    <row r="8" spans="1:3" x14ac:dyDescent="0.25">
      <c r="A8" s="178" t="s">
        <v>140</v>
      </c>
      <c r="B8" s="22"/>
    </row>
    <row r="9" spans="1:3" x14ac:dyDescent="0.25">
      <c r="A9" s="178" t="s">
        <v>141</v>
      </c>
      <c r="B9" s="22"/>
    </row>
    <row r="10" spans="1:3" x14ac:dyDescent="0.25">
      <c r="A10" s="178" t="s">
        <v>142</v>
      </c>
      <c r="B10" s="22"/>
    </row>
    <row r="11" spans="1:3" x14ac:dyDescent="0.25">
      <c r="A11" s="178" t="s">
        <v>143</v>
      </c>
      <c r="B11" s="22"/>
    </row>
    <row r="12" spans="1:3" x14ac:dyDescent="0.25">
      <c r="A12" s="178" t="s">
        <v>144</v>
      </c>
      <c r="B12" s="22"/>
    </row>
    <row r="13" spans="1:3" x14ac:dyDescent="0.25">
      <c r="A13" s="178" t="s">
        <v>145</v>
      </c>
      <c r="B13" s="22"/>
    </row>
    <row r="14" spans="1:3" x14ac:dyDescent="0.25">
      <c r="A14" s="178" t="s">
        <v>146</v>
      </c>
      <c r="B14" s="22"/>
    </row>
    <row r="15" spans="1:3" x14ac:dyDescent="0.25">
      <c r="A15" s="178" t="s">
        <v>147</v>
      </c>
      <c r="B15" s="22"/>
    </row>
    <row r="16" spans="1:3" x14ac:dyDescent="0.25">
      <c r="A16" s="178" t="s">
        <v>148</v>
      </c>
      <c r="B16" s="22"/>
    </row>
    <row r="17" spans="1:2" x14ac:dyDescent="0.25">
      <c r="A17" s="179" t="s">
        <v>190</v>
      </c>
      <c r="B17" s="22"/>
    </row>
    <row r="18" spans="1:2" s="144" customFormat="1" ht="22.8" customHeight="1" x14ac:dyDescent="0.25">
      <c r="A18" s="24" t="s">
        <v>196</v>
      </c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53BA-0F24-4E95-A236-573FA48DC0D8}">
  <dimension ref="A1:F13"/>
  <sheetViews>
    <sheetView topLeftCell="A10" zoomScaleNormal="100" workbookViewId="0">
      <selection activeCell="D40" sqref="D40"/>
    </sheetView>
  </sheetViews>
  <sheetFormatPr defaultRowHeight="13.8" x14ac:dyDescent="0.25"/>
  <cols>
    <col min="1" max="1" width="15.77734375" style="24" bestFit="1" customWidth="1"/>
    <col min="2" max="2" width="27.44140625" style="24" bestFit="1" customWidth="1"/>
    <col min="3" max="3" width="40.88671875" style="24" bestFit="1" customWidth="1"/>
    <col min="4" max="4" width="32.6640625" style="24" bestFit="1" customWidth="1"/>
    <col min="5" max="5" width="25.109375" style="24" bestFit="1" customWidth="1"/>
    <col min="6" max="6" width="26.6640625" style="24" bestFit="1" customWidth="1"/>
    <col min="7" max="16384" width="8.88671875" style="24"/>
  </cols>
  <sheetData>
    <row r="1" spans="1:6" x14ac:dyDescent="0.25">
      <c r="A1" s="153" t="s">
        <v>185</v>
      </c>
      <c r="B1" s="154" t="s">
        <v>177</v>
      </c>
      <c r="C1" s="154" t="s">
        <v>178</v>
      </c>
      <c r="D1" s="154" t="s">
        <v>179</v>
      </c>
      <c r="E1" s="154" t="s">
        <v>180</v>
      </c>
      <c r="F1" s="154" t="s">
        <v>181</v>
      </c>
    </row>
    <row r="2" spans="1:6" x14ac:dyDescent="0.25">
      <c r="A2" s="24" t="s">
        <v>43</v>
      </c>
      <c r="B2" s="24">
        <f>'Table 8'!B6</f>
        <v>11.3</v>
      </c>
      <c r="C2" s="24">
        <f>'Table 8'!D6</f>
        <v>23.3</v>
      </c>
      <c r="D2" s="24">
        <f>'Table 8'!E6</f>
        <v>19.3</v>
      </c>
      <c r="E2" s="24">
        <f>'Table 8'!F6</f>
        <v>22.5</v>
      </c>
      <c r="F2" s="24">
        <f>'Table 8'!G6</f>
        <v>12.2</v>
      </c>
    </row>
    <row r="3" spans="1:6" x14ac:dyDescent="0.25">
      <c r="A3" s="24" t="s">
        <v>54</v>
      </c>
      <c r="B3" s="24">
        <f>'Table 8'!B7</f>
        <v>12.5</v>
      </c>
      <c r="C3" s="24">
        <f>'Table 8'!D7</f>
        <v>29.1</v>
      </c>
      <c r="D3" s="24">
        <f>'Table 8'!E7</f>
        <v>24</v>
      </c>
      <c r="E3" s="24">
        <f>'Table 8'!F7</f>
        <v>31.8</v>
      </c>
      <c r="F3" s="24">
        <f>'Table 8'!G7</f>
        <v>13.9</v>
      </c>
    </row>
    <row r="4" spans="1:6" x14ac:dyDescent="0.25">
      <c r="A4" s="24" t="s">
        <v>69</v>
      </c>
      <c r="B4" s="24">
        <f>'Table 8'!B8</f>
        <v>14.4</v>
      </c>
      <c r="C4" s="24">
        <f>'Table 8'!D8</f>
        <v>25.4</v>
      </c>
      <c r="D4" s="24">
        <f>'Table 8'!E8</f>
        <v>26.5</v>
      </c>
      <c r="E4" s="24">
        <f>'Table 8'!F8</f>
        <v>30.1</v>
      </c>
      <c r="F4" s="24">
        <f>'Table 8'!G8</f>
        <v>13.8</v>
      </c>
    </row>
    <row r="5" spans="1:6" x14ac:dyDescent="0.25">
      <c r="A5" s="24" t="s">
        <v>75</v>
      </c>
      <c r="B5" s="24">
        <f>'Table 8'!B9</f>
        <v>13</v>
      </c>
      <c r="C5" s="24">
        <f>'Table 8'!D9</f>
        <v>21.4</v>
      </c>
      <c r="D5" s="24">
        <f>'Table 8'!E9</f>
        <v>20.6</v>
      </c>
      <c r="E5" s="24">
        <f>'Table 8'!F9</f>
        <v>24.9</v>
      </c>
      <c r="F5" s="24">
        <f>'Table 8'!G9</f>
        <v>13.8</v>
      </c>
    </row>
    <row r="6" spans="1:6" x14ac:dyDescent="0.25">
      <c r="A6" s="24" t="s">
        <v>78</v>
      </c>
      <c r="B6" s="24">
        <f>'Table 8'!B10</f>
        <v>10.1</v>
      </c>
      <c r="C6" s="24">
        <f>'Table 8'!D10</f>
        <v>21.7</v>
      </c>
      <c r="D6" s="24">
        <f>'Table 8'!E10</f>
        <v>16.899999999999999</v>
      </c>
      <c r="E6" s="24">
        <f>'Table 8'!F10</f>
        <v>22</v>
      </c>
      <c r="F6" s="24">
        <f>'Table 8'!G10</f>
        <v>11.8</v>
      </c>
    </row>
    <row r="7" spans="1:6" x14ac:dyDescent="0.25">
      <c r="A7" s="24" t="s">
        <v>79</v>
      </c>
      <c r="B7" s="24">
        <f>'Table 8'!B11</f>
        <v>8.9499999999999993</v>
      </c>
      <c r="C7" s="24">
        <f>'Table 8'!D11</f>
        <v>19.600000000000001</v>
      </c>
      <c r="D7" s="24">
        <f>'Table 8'!E11</f>
        <v>15.6</v>
      </c>
      <c r="E7" s="24">
        <f>'Table 8'!F11</f>
        <v>19.3</v>
      </c>
      <c r="F7" s="24">
        <f>'Table 8'!G11</f>
        <v>8.9499999999999993</v>
      </c>
    </row>
    <row r="8" spans="1:6" x14ac:dyDescent="0.25">
      <c r="A8" s="24" t="s">
        <v>91</v>
      </c>
      <c r="B8" s="24">
        <f>'Table 8'!B12</f>
        <v>9.4700000000000006</v>
      </c>
      <c r="C8" s="24">
        <f>'Table 8'!D12</f>
        <v>17.399999999999999</v>
      </c>
      <c r="D8" s="24">
        <f>'Table 8'!E12</f>
        <v>16.600000000000001</v>
      </c>
      <c r="E8" s="24">
        <f>'Table 8'!F12</f>
        <v>19.7</v>
      </c>
      <c r="F8" s="24">
        <f>'Table 8'!G12</f>
        <v>8</v>
      </c>
    </row>
    <row r="9" spans="1:6" x14ac:dyDescent="0.25">
      <c r="A9" s="24" t="s">
        <v>93</v>
      </c>
      <c r="B9" s="24">
        <f>'Table 8'!B13</f>
        <v>9.33</v>
      </c>
      <c r="C9" s="24">
        <f>'Table 8'!D13</f>
        <v>17.2</v>
      </c>
      <c r="D9" s="24">
        <f>'Table 8'!E13</f>
        <v>17.5</v>
      </c>
      <c r="E9" s="24">
        <f>'Table 8'!F13</f>
        <v>22.9</v>
      </c>
      <c r="F9" s="24">
        <f>'Table 8'!G13</f>
        <v>9.5299999999999994</v>
      </c>
    </row>
    <row r="10" spans="1:6" x14ac:dyDescent="0.25">
      <c r="A10" s="24" t="s">
        <v>118</v>
      </c>
      <c r="B10" s="24">
        <f>'Table 8'!B14</f>
        <v>8.48</v>
      </c>
      <c r="C10" s="24">
        <f>'Table 8'!D14</f>
        <v>17.399999999999999</v>
      </c>
      <c r="D10" s="24">
        <f>'Table 8'!E14</f>
        <v>15.8</v>
      </c>
      <c r="E10" s="24">
        <f>'Table 8'!F14</f>
        <v>21.5</v>
      </c>
      <c r="F10" s="24">
        <f>'Table 8'!G14</f>
        <v>9.89</v>
      </c>
    </row>
    <row r="11" spans="1:6" x14ac:dyDescent="0.25">
      <c r="A11" s="24" t="s">
        <v>120</v>
      </c>
      <c r="B11" s="24">
        <f>'Table 8'!B15</f>
        <v>8.57</v>
      </c>
      <c r="C11" s="24">
        <f>'Table 8'!D15</f>
        <v>19.5</v>
      </c>
      <c r="D11" s="24">
        <f>'Table 8'!E15</f>
        <v>14.8</v>
      </c>
      <c r="E11" s="24">
        <f>'Table 8'!F15</f>
        <v>20.5</v>
      </c>
      <c r="F11" s="24">
        <f>'Table 8'!G15</f>
        <v>9.15</v>
      </c>
    </row>
    <row r="12" spans="1:6" x14ac:dyDescent="0.25">
      <c r="A12" s="24" t="s">
        <v>128</v>
      </c>
      <c r="B12" s="24">
        <f>'Table 8'!B16</f>
        <v>11.25</v>
      </c>
      <c r="C12" s="24">
        <f>'Table 8'!D16</f>
        <v>21.150000000000002</v>
      </c>
      <c r="D12" s="24">
        <f>'Table 8'!E16</f>
        <v>18.3</v>
      </c>
      <c r="E12" s="24">
        <f>'Table 8'!F16</f>
        <v>21</v>
      </c>
      <c r="F12" s="24">
        <f>'Table 8'!G16</f>
        <v>12</v>
      </c>
    </row>
    <row r="13" spans="1:6" x14ac:dyDescent="0.25">
      <c r="A13" s="24" t="s">
        <v>176</v>
      </c>
      <c r="B13" s="24">
        <f>'Table 8'!B17</f>
        <v>13.85</v>
      </c>
      <c r="C13" s="24">
        <f>'Table 8'!D17</f>
        <v>24.650000000000002</v>
      </c>
      <c r="D13" s="24">
        <f>'Table 8'!E17</f>
        <v>26.3</v>
      </c>
      <c r="E13" s="24">
        <f>'Table 8'!F17</f>
        <v>20.75</v>
      </c>
      <c r="F13" s="24">
        <f>'Table 8'!G17</f>
        <v>15.25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4B4A6-7D23-43CB-B8D2-1F8B257A60FE}">
  <dimension ref="A1:F9"/>
  <sheetViews>
    <sheetView workbookViewId="0">
      <selection activeCell="O21" sqref="O21"/>
    </sheetView>
  </sheetViews>
  <sheetFormatPr defaultRowHeight="14.4" x14ac:dyDescent="0.3"/>
  <cols>
    <col min="1" max="1" width="15.44140625" style="149" customWidth="1"/>
    <col min="2" max="6" width="9.88671875" style="149" customWidth="1"/>
    <col min="7" max="16384" width="8.88671875" style="149"/>
  </cols>
  <sheetData>
    <row r="1" spans="1:6" x14ac:dyDescent="0.3">
      <c r="A1" s="155" t="s">
        <v>162</v>
      </c>
      <c r="B1" s="156" t="s">
        <v>163</v>
      </c>
      <c r="C1" s="156" t="s">
        <v>164</v>
      </c>
      <c r="D1" s="156" t="s">
        <v>165</v>
      </c>
      <c r="E1" s="156" t="s">
        <v>166</v>
      </c>
      <c r="F1" s="156" t="s">
        <v>167</v>
      </c>
    </row>
    <row r="2" spans="1:6" x14ac:dyDescent="0.3">
      <c r="A2" s="157" t="s">
        <v>168</v>
      </c>
      <c r="B2" s="158">
        <v>3.8929999999999998</v>
      </c>
      <c r="C2" s="158">
        <v>2.3660000000000001</v>
      </c>
      <c r="D2" s="158">
        <v>2.33</v>
      </c>
      <c r="E2" s="158">
        <v>4</v>
      </c>
      <c r="F2" s="158">
        <v>3.5</v>
      </c>
    </row>
    <row r="3" spans="1:6" x14ac:dyDescent="0.3">
      <c r="A3" s="157" t="s">
        <v>169</v>
      </c>
      <c r="B3" s="158">
        <v>21.457999999999998</v>
      </c>
      <c r="C3" s="158">
        <v>20.724</v>
      </c>
      <c r="D3" s="158">
        <v>19.606999999999999</v>
      </c>
      <c r="E3" s="158">
        <v>19</v>
      </c>
      <c r="F3" s="158">
        <v>20.5</v>
      </c>
    </row>
    <row r="4" spans="1:6" x14ac:dyDescent="0.3">
      <c r="A4" s="157" t="s">
        <v>170</v>
      </c>
      <c r="B4" s="158">
        <v>13.273999999999999</v>
      </c>
      <c r="C4" s="158">
        <v>13.281000000000001</v>
      </c>
      <c r="D4" s="158">
        <v>13.484999999999999</v>
      </c>
      <c r="E4" s="158">
        <v>13.7</v>
      </c>
      <c r="F4" s="158">
        <v>13.8</v>
      </c>
    </row>
    <row r="5" spans="1:6" x14ac:dyDescent="0.3">
      <c r="A5" s="157" t="s">
        <v>171</v>
      </c>
      <c r="B5" s="158">
        <v>20.016999999999999</v>
      </c>
      <c r="C5" s="158">
        <v>18.047999999999998</v>
      </c>
      <c r="D5" s="158">
        <v>15.241</v>
      </c>
      <c r="E5" s="158">
        <v>16.170000000000002</v>
      </c>
      <c r="F5" s="158">
        <v>16.600000000000001</v>
      </c>
    </row>
    <row r="6" spans="1:6" x14ac:dyDescent="0.3">
      <c r="A6" s="157" t="s">
        <v>172</v>
      </c>
      <c r="B6" s="158">
        <v>7.1</v>
      </c>
      <c r="C6" s="158">
        <v>7.5</v>
      </c>
      <c r="D6" s="158">
        <v>7.4</v>
      </c>
      <c r="E6" s="158">
        <v>8.5</v>
      </c>
      <c r="F6" s="158">
        <v>8.5</v>
      </c>
    </row>
    <row r="7" spans="1:6" x14ac:dyDescent="0.3">
      <c r="A7" s="157" t="s">
        <v>173</v>
      </c>
      <c r="B7" s="158">
        <v>1.4970000000000001</v>
      </c>
      <c r="C7" s="158">
        <v>1.9890000000000001</v>
      </c>
      <c r="D7" s="158">
        <v>2.04</v>
      </c>
      <c r="E7" s="158">
        <v>2.5670000000000002</v>
      </c>
      <c r="F7" s="158">
        <v>2.35</v>
      </c>
    </row>
    <row r="8" spans="1:6" x14ac:dyDescent="0.3">
      <c r="A8" s="157" t="s">
        <v>174</v>
      </c>
      <c r="B8" s="158">
        <v>2.2170000000000001</v>
      </c>
      <c r="C8" s="158">
        <v>2.85</v>
      </c>
      <c r="D8" s="158">
        <v>3.4649999999999999</v>
      </c>
      <c r="E8" s="158">
        <v>2.75</v>
      </c>
      <c r="F8" s="158">
        <v>2.95</v>
      </c>
    </row>
    <row r="9" spans="1:6" x14ac:dyDescent="0.3">
      <c r="A9" s="157" t="s">
        <v>175</v>
      </c>
      <c r="B9" s="158">
        <v>75.147999999999996</v>
      </c>
      <c r="C9" s="158">
        <v>72.506</v>
      </c>
      <c r="D9" s="158">
        <v>68.975999999999999</v>
      </c>
      <c r="E9" s="158">
        <v>71.418000000000006</v>
      </c>
      <c r="F9" s="158">
        <v>73.212000000000003</v>
      </c>
    </row>
  </sheetData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8D63-B32B-4806-8A88-6AD7131B3BB1}">
  <dimension ref="A1:J5"/>
  <sheetViews>
    <sheetView topLeftCell="A2" workbookViewId="0">
      <selection activeCell="L17" sqref="L17"/>
    </sheetView>
  </sheetViews>
  <sheetFormatPr defaultRowHeight="13.2" x14ac:dyDescent="0.25"/>
  <cols>
    <col min="1" max="1" width="29.33203125" bestFit="1" customWidth="1"/>
  </cols>
  <sheetData>
    <row r="1" spans="1:10" ht="13.8" x14ac:dyDescent="0.25">
      <c r="A1" s="154" t="s">
        <v>182</v>
      </c>
      <c r="B1" s="154">
        <v>2012</v>
      </c>
      <c r="C1" s="154">
        <v>2013</v>
      </c>
      <c r="D1" s="154">
        <v>2014</v>
      </c>
      <c r="E1" s="154">
        <v>2015</v>
      </c>
      <c r="F1" s="154">
        <v>2016</v>
      </c>
      <c r="G1" s="154">
        <v>2017</v>
      </c>
      <c r="H1" s="154">
        <v>2018</v>
      </c>
      <c r="I1" s="154">
        <v>2019</v>
      </c>
      <c r="J1" s="154">
        <v>2020</v>
      </c>
    </row>
    <row r="2" spans="1:10" ht="13.8" x14ac:dyDescent="0.25">
      <c r="A2" s="139" t="s">
        <v>186</v>
      </c>
      <c r="B2" s="24">
        <v>596.82000000000005</v>
      </c>
      <c r="C2" s="24">
        <v>571.04</v>
      </c>
      <c r="D2" s="24">
        <v>522.24</v>
      </c>
      <c r="E2" s="24">
        <v>430.56</v>
      </c>
      <c r="F2" s="24">
        <v>491.92</v>
      </c>
      <c r="G2" s="24">
        <v>454.72</v>
      </c>
      <c r="H2" s="24">
        <v>458.91</v>
      </c>
      <c r="I2" s="24">
        <v>429.34</v>
      </c>
      <c r="J2" s="24">
        <v>515.4</v>
      </c>
    </row>
    <row r="3" spans="1:10" ht="13.8" x14ac:dyDescent="0.25">
      <c r="A3" s="139" t="s">
        <v>187</v>
      </c>
      <c r="B3" s="24">
        <v>172.29</v>
      </c>
      <c r="C3" s="24">
        <v>176.63</v>
      </c>
      <c r="D3" s="24">
        <v>176.79</v>
      </c>
      <c r="E3" s="24">
        <v>166.97</v>
      </c>
      <c r="F3" s="24">
        <v>160.31</v>
      </c>
      <c r="G3" s="24">
        <v>158.08000000000001</v>
      </c>
      <c r="H3" s="24">
        <v>187.16</v>
      </c>
      <c r="I3" s="24">
        <v>188.95</v>
      </c>
      <c r="J3" s="24">
        <v>185.12</v>
      </c>
    </row>
    <row r="4" spans="1:10" ht="13.8" x14ac:dyDescent="0.25">
      <c r="A4" s="139" t="s">
        <v>188</v>
      </c>
      <c r="B4" s="24">
        <v>265.3</v>
      </c>
      <c r="C4" s="24">
        <v>281.68</v>
      </c>
      <c r="D4" s="24">
        <v>289.93</v>
      </c>
      <c r="E4" s="24">
        <v>296.33</v>
      </c>
      <c r="F4" s="24">
        <v>283.14999999999998</v>
      </c>
      <c r="G4" s="24">
        <v>285.42</v>
      </c>
      <c r="H4" s="24">
        <v>308.7</v>
      </c>
      <c r="I4" s="24">
        <v>314.77999999999997</v>
      </c>
      <c r="J4" s="24">
        <v>315.26</v>
      </c>
    </row>
    <row r="5" spans="1:10" ht="13.8" x14ac:dyDescent="0.25">
      <c r="A5" s="139" t="s">
        <v>189</v>
      </c>
      <c r="B5" s="24">
        <v>437.59</v>
      </c>
      <c r="C5" s="24">
        <v>458.31</v>
      </c>
      <c r="D5" s="24">
        <v>466.72</v>
      </c>
      <c r="E5" s="24">
        <v>463.3</v>
      </c>
      <c r="F5" s="24">
        <v>443.46</v>
      </c>
      <c r="G5" s="24">
        <v>443.5</v>
      </c>
      <c r="H5" s="24">
        <v>495.86</v>
      </c>
      <c r="I5" s="24">
        <v>503.73</v>
      </c>
      <c r="J5" s="24">
        <v>500.38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2"/>
  <sheetViews>
    <sheetView showGridLines="0" zoomScale="90" zoomScaleNormal="90" workbookViewId="0">
      <selection activeCell="A44" sqref="A44"/>
    </sheetView>
  </sheetViews>
  <sheetFormatPr defaultRowHeight="13.2" x14ac:dyDescent="0.25"/>
  <cols>
    <col min="1" max="1" width="21.77734375" customWidth="1"/>
    <col min="2" max="2" width="11.5546875" customWidth="1"/>
    <col min="3" max="3" width="9.5546875" customWidth="1"/>
    <col min="4" max="4" width="26.77734375" customWidth="1"/>
    <col min="5" max="5" width="9.77734375" customWidth="1"/>
    <col min="6" max="6" width="10.77734375" customWidth="1"/>
    <col min="7" max="7" width="7.77734375" customWidth="1"/>
    <col min="8" max="8" width="9.77734375" customWidth="1"/>
    <col min="9" max="9" width="1.77734375" customWidth="1"/>
    <col min="10" max="10" width="9.77734375" customWidth="1"/>
    <col min="11" max="12" width="10.77734375" customWidth="1"/>
    <col min="13" max="13" width="10.33203125" customWidth="1"/>
    <col min="14" max="14" width="9.77734375" customWidth="1"/>
    <col min="17" max="17" width="15.44140625" bestFit="1" customWidth="1"/>
    <col min="18" max="18" width="10.109375" bestFit="1" customWidth="1"/>
  </cols>
  <sheetData>
    <row r="1" spans="1:18" ht="13.8" x14ac:dyDescent="0.25">
      <c r="A1" s="23" t="s">
        <v>149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4"/>
      <c r="B2" s="113" t="s">
        <v>19</v>
      </c>
      <c r="C2" s="110"/>
      <c r="D2" s="26" t="s">
        <v>22</v>
      </c>
      <c r="E2" s="112"/>
      <c r="F2" s="110" t="s">
        <v>70</v>
      </c>
      <c r="G2" s="110"/>
      <c r="H2" s="110"/>
      <c r="I2" s="27"/>
      <c r="J2" s="112"/>
      <c r="K2" s="110"/>
      <c r="L2" s="114" t="s">
        <v>57</v>
      </c>
      <c r="M2" s="110"/>
      <c r="N2" s="24"/>
    </row>
    <row r="3" spans="1:18" ht="13.8" x14ac:dyDescent="0.25">
      <c r="A3" s="24" t="s">
        <v>64</v>
      </c>
      <c r="B3" s="26" t="s">
        <v>20</v>
      </c>
      <c r="C3" s="24" t="s">
        <v>21</v>
      </c>
      <c r="D3" s="26"/>
      <c r="E3" s="28" t="s">
        <v>8</v>
      </c>
      <c r="F3" s="28"/>
      <c r="G3" s="28"/>
      <c r="H3" s="28"/>
      <c r="I3" s="28"/>
      <c r="J3" s="26" t="s">
        <v>59</v>
      </c>
      <c r="K3" s="28" t="s">
        <v>77</v>
      </c>
      <c r="L3" s="28"/>
      <c r="M3" s="28"/>
      <c r="N3" s="28" t="s">
        <v>6</v>
      </c>
    </row>
    <row r="4" spans="1:18" ht="13.8" x14ac:dyDescent="0.25">
      <c r="A4" s="29" t="s">
        <v>67</v>
      </c>
      <c r="B4" s="30"/>
      <c r="C4" s="30"/>
      <c r="D4" s="30"/>
      <c r="E4" s="31" t="s">
        <v>7</v>
      </c>
      <c r="F4" s="31" t="s">
        <v>1</v>
      </c>
      <c r="G4" s="32" t="s">
        <v>2</v>
      </c>
      <c r="H4" s="33" t="s">
        <v>3</v>
      </c>
      <c r="I4" s="32"/>
      <c r="J4" s="32"/>
      <c r="K4" s="32" t="s">
        <v>5</v>
      </c>
      <c r="L4" s="33" t="s">
        <v>4</v>
      </c>
      <c r="M4" s="31" t="s">
        <v>3</v>
      </c>
      <c r="N4" s="32" t="s">
        <v>7</v>
      </c>
    </row>
    <row r="5" spans="1:18" ht="14.4" x14ac:dyDescent="0.3">
      <c r="A5" s="24"/>
      <c r="B5" s="108" t="s">
        <v>71</v>
      </c>
      <c r="C5" s="109"/>
      <c r="D5" s="34" t="s">
        <v>131</v>
      </c>
      <c r="G5" s="108"/>
      <c r="I5" s="108"/>
      <c r="J5" s="111" t="s">
        <v>119</v>
      </c>
      <c r="K5" s="108"/>
      <c r="L5" s="108"/>
      <c r="M5" s="108"/>
      <c r="N5" s="108"/>
    </row>
    <row r="6" spans="1:18" ht="16.5" customHeight="1" x14ac:dyDescent="0.25">
      <c r="A6" s="24" t="s">
        <v>120</v>
      </c>
      <c r="B6" s="35">
        <v>76.099999999999994</v>
      </c>
      <c r="C6" s="35">
        <v>74.938999999999993</v>
      </c>
      <c r="D6" s="35">
        <v>47.397323156167019</v>
      </c>
      <c r="E6" s="36">
        <v>524.54100000000005</v>
      </c>
      <c r="F6" s="37">
        <v>3551.9079999999999</v>
      </c>
      <c r="G6" s="38">
        <v>15.399722739414511</v>
      </c>
      <c r="H6" s="38">
        <v>4091.8487227394144</v>
      </c>
      <c r="I6" s="24"/>
      <c r="J6" s="37">
        <v>2164.5542333333333</v>
      </c>
      <c r="K6" s="37">
        <v>-279.26928307507342</v>
      </c>
      <c r="L6" s="38">
        <v>1682.0227724811543</v>
      </c>
      <c r="M6" s="38">
        <v>3567.3077227394142</v>
      </c>
      <c r="N6" s="38">
        <v>524.54100000000005</v>
      </c>
    </row>
    <row r="7" spans="1:18" ht="16.5" customHeight="1" x14ac:dyDescent="0.25">
      <c r="A7" s="24" t="s">
        <v>123</v>
      </c>
      <c r="B7" s="35">
        <v>83.084000000000003</v>
      </c>
      <c r="C7" s="35">
        <v>82.317999999999998</v>
      </c>
      <c r="D7" s="35">
        <f>F7/C7</f>
        <v>50.237821618601032</v>
      </c>
      <c r="E7" s="36">
        <f>N6</f>
        <v>524.54100000000005</v>
      </c>
      <c r="F7" s="37">
        <v>4135.4769999999999</v>
      </c>
      <c r="G7" s="38">
        <v>35</v>
      </c>
      <c r="H7" s="38">
        <f>SUM(E7:G7)</f>
        <v>4695.018</v>
      </c>
      <c r="I7" s="24"/>
      <c r="J7" s="37">
        <v>2175</v>
      </c>
      <c r="K7" s="37">
        <f>M7-L7-J7</f>
        <v>105.45799999999963</v>
      </c>
      <c r="L7" s="38">
        <v>2280</v>
      </c>
      <c r="M7" s="38">
        <f>H7-N7</f>
        <v>4560.4579999999996</v>
      </c>
      <c r="N7" s="38">
        <v>134.56</v>
      </c>
    </row>
    <row r="8" spans="1:18" ht="16.5" customHeight="1" x14ac:dyDescent="0.25">
      <c r="A8" s="24" t="s">
        <v>155</v>
      </c>
      <c r="B8" s="35">
        <v>87.6</v>
      </c>
      <c r="C8" s="35">
        <v>87.6</v>
      </c>
      <c r="D8" s="35">
        <v>50.8</v>
      </c>
      <c r="E8" s="36">
        <f>N7</f>
        <v>134.56</v>
      </c>
      <c r="F8" s="37">
        <v>4405</v>
      </c>
      <c r="G8" s="38">
        <v>35</v>
      </c>
      <c r="H8" s="38">
        <f>SUM(E8:G8)</f>
        <v>4574.5600000000004</v>
      </c>
      <c r="I8" s="24"/>
      <c r="J8" s="37">
        <v>2225</v>
      </c>
      <c r="K8" s="37">
        <f>M8-L8-J8</f>
        <v>119.52000000000044</v>
      </c>
      <c r="L8" s="38">
        <v>2075</v>
      </c>
      <c r="M8" s="38">
        <f>H8-N8</f>
        <v>4419.5200000000004</v>
      </c>
      <c r="N8" s="38">
        <v>155.04</v>
      </c>
      <c r="R8" s="160"/>
    </row>
    <row r="9" spans="1:18" ht="16.5" customHeight="1" x14ac:dyDescent="0.25">
      <c r="A9" s="27"/>
      <c r="B9" s="27"/>
      <c r="C9" s="27"/>
      <c r="D9" s="27"/>
      <c r="E9" s="40"/>
      <c r="F9" s="40"/>
      <c r="G9" s="41"/>
      <c r="H9" s="40"/>
      <c r="I9" s="40"/>
      <c r="J9" s="41"/>
      <c r="K9" s="41"/>
      <c r="L9" s="41"/>
      <c r="M9" s="41"/>
      <c r="N9" s="41"/>
      <c r="R9" s="160"/>
    </row>
    <row r="10" spans="1:18" ht="16.5" customHeight="1" x14ac:dyDescent="0.25">
      <c r="A10" s="27" t="s">
        <v>132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63"/>
      <c r="R10" s="160"/>
    </row>
    <row r="11" spans="1:18" ht="16.5" customHeight="1" x14ac:dyDescent="0.25">
      <c r="A11" s="139" t="s">
        <v>120</v>
      </c>
      <c r="B11" s="107"/>
      <c r="C11" s="107"/>
      <c r="D11" s="107"/>
      <c r="E11" s="107"/>
      <c r="F11" s="107"/>
      <c r="G11" s="45"/>
      <c r="H11" s="46"/>
      <c r="I11" s="115"/>
      <c r="J11" s="46"/>
      <c r="K11" s="46"/>
      <c r="L11" s="45"/>
      <c r="M11" s="45"/>
      <c r="N11" s="107"/>
      <c r="R11" s="160"/>
    </row>
    <row r="12" spans="1:18" ht="16.5" customHeight="1" x14ac:dyDescent="0.25">
      <c r="A12" s="27" t="s">
        <v>80</v>
      </c>
      <c r="B12" s="107"/>
      <c r="C12" s="107"/>
      <c r="D12" s="107"/>
      <c r="G12" s="45">
        <f>(0.61606+25.572761+5.722113)*2.204622/60</f>
        <v>1.1725257856158</v>
      </c>
      <c r="I12" s="107"/>
      <c r="J12" s="46">
        <f>4.870034*2000/60</f>
        <v>162.33446666666669</v>
      </c>
      <c r="K12" s="47"/>
      <c r="L12" s="45">
        <f>(34.198907+3866.166)*2.204622/60</f>
        <v>143.31383803333591</v>
      </c>
      <c r="M12" s="45"/>
      <c r="N12" s="46"/>
      <c r="R12" s="160"/>
    </row>
    <row r="13" spans="1:18" ht="16.5" customHeight="1" x14ac:dyDescent="0.25">
      <c r="A13" s="27" t="s">
        <v>82</v>
      </c>
      <c r="B13" s="107"/>
      <c r="C13" s="107"/>
      <c r="D13" s="107"/>
      <c r="E13" s="42"/>
      <c r="F13" s="44"/>
      <c r="G13" s="45">
        <f>(1.045181+37.412542+15.259817)*2.204622/60</f>
        <v>1.9737811744980001</v>
      </c>
      <c r="H13" s="46"/>
      <c r="I13" s="107"/>
      <c r="J13" s="46">
        <f>5.615616*2000/60</f>
        <v>187.18719999999999</v>
      </c>
      <c r="K13" s="47"/>
      <c r="L13" s="45">
        <f>(31.439182+5862.128)*2.204622/60</f>
        <v>216.55146446525342</v>
      </c>
      <c r="M13" s="45"/>
      <c r="N13" s="46"/>
      <c r="R13" s="160"/>
    </row>
    <row r="14" spans="1:18" ht="16.5" customHeight="1" x14ac:dyDescent="0.25">
      <c r="A14" s="27" t="s">
        <v>84</v>
      </c>
      <c r="B14" s="107"/>
      <c r="C14" s="107"/>
      <c r="D14" s="107"/>
      <c r="E14" s="42"/>
      <c r="F14" s="44"/>
      <c r="G14" s="45">
        <f>(0.996565+5.711141+5.30294)*2.204622/60</f>
        <v>0.44131557343020006</v>
      </c>
      <c r="H14" s="46"/>
      <c r="I14" s="107"/>
      <c r="J14" s="46">
        <f>5.239452*2000/60</f>
        <v>174.64840000000001</v>
      </c>
      <c r="K14" s="47"/>
      <c r="L14" s="45">
        <f>(18.866325+6806.837)*2.204622/60</f>
        <v>250.80159526280252</v>
      </c>
      <c r="M14" s="45"/>
      <c r="N14" s="46"/>
      <c r="R14" s="160"/>
    </row>
    <row r="15" spans="1:18" ht="16.5" customHeight="1" x14ac:dyDescent="0.25">
      <c r="A15" s="27" t="s">
        <v>61</v>
      </c>
      <c r="B15" s="107"/>
      <c r="C15" s="107"/>
      <c r="D15" s="107"/>
      <c r="E15" s="42">
        <v>909.05200000000002</v>
      </c>
      <c r="F15" s="44">
        <f>3551.908</f>
        <v>3551.9079999999999</v>
      </c>
      <c r="G15" s="45">
        <f>SUM(G12:G14)</f>
        <v>3.5876225335440002</v>
      </c>
      <c r="H15" s="46">
        <f>E15+F15+G15</f>
        <v>4464.5476225335442</v>
      </c>
      <c r="I15" s="107"/>
      <c r="J15" s="46">
        <f>SUM(J12:J14)</f>
        <v>524.17006666666668</v>
      </c>
      <c r="K15" s="47">
        <f>M15-L15-J15</f>
        <v>77.222658105485834</v>
      </c>
      <c r="L15" s="45">
        <f>SUM(L12:L14)</f>
        <v>610.66689776139185</v>
      </c>
      <c r="M15" s="45">
        <f>H15-N15</f>
        <v>1212.0596225335444</v>
      </c>
      <c r="N15" s="46">
        <v>3252.4879999999998</v>
      </c>
      <c r="R15" s="160"/>
    </row>
    <row r="16" spans="1:18" ht="16.5" customHeight="1" x14ac:dyDescent="0.25">
      <c r="A16" s="24" t="s">
        <v>85</v>
      </c>
      <c r="B16" s="107"/>
      <c r="C16" s="107"/>
      <c r="D16" s="107"/>
      <c r="E16" s="42"/>
      <c r="F16" s="45"/>
      <c r="G16" s="45">
        <f>(2.394047+31.047659+4.372992)*2.204622/60</f>
        <v>1.3894519189025998</v>
      </c>
      <c r="H16" s="46"/>
      <c r="I16" s="107"/>
      <c r="J16" s="46">
        <f>5.542274*2000/60</f>
        <v>184.74246666666667</v>
      </c>
      <c r="K16" s="47"/>
      <c r="L16" s="45">
        <f>(18.302084+5638.722)*2.204622/60</f>
        <v>207.85999583527078</v>
      </c>
      <c r="M16" s="45"/>
      <c r="N16" s="46"/>
      <c r="R16" s="160"/>
    </row>
    <row r="17" spans="1:18" ht="16.5" customHeight="1" x14ac:dyDescent="0.25">
      <c r="A17" s="24" t="s">
        <v>86</v>
      </c>
      <c r="B17" s="107"/>
      <c r="C17" s="107"/>
      <c r="D17" s="107"/>
      <c r="E17" s="42"/>
      <c r="F17" s="44"/>
      <c r="G17" s="45">
        <f>(8.096021+19.453759+3.525378)*2.204622/60</f>
        <v>1.1418162830046001</v>
      </c>
      <c r="H17" s="46"/>
      <c r="I17" s="107"/>
      <c r="J17" s="46">
        <f>5.663403*2000/60</f>
        <v>188.78009999999998</v>
      </c>
      <c r="K17" s="47"/>
      <c r="L17" s="45">
        <f>(22.638687+5296.569)*2.204622/60</f>
        <v>195.44737148882191</v>
      </c>
      <c r="M17" s="45"/>
      <c r="N17" s="46"/>
      <c r="R17" s="160"/>
    </row>
    <row r="18" spans="1:18" ht="16.5" customHeight="1" x14ac:dyDescent="0.25">
      <c r="A18" s="24" t="s">
        <v>87</v>
      </c>
      <c r="B18" s="107"/>
      <c r="C18" s="107"/>
      <c r="D18" s="107"/>
      <c r="E18" s="42"/>
      <c r="F18" s="44"/>
      <c r="G18" s="45">
        <f>(1.166549+36.489844+3.682102)*2.204622/60</f>
        <v>1.5189292587315002</v>
      </c>
      <c r="H18" s="46"/>
      <c r="I18" s="107"/>
      <c r="J18" s="46">
        <f>5.258777*2000/60</f>
        <v>175.29256666666666</v>
      </c>
      <c r="K18" s="47"/>
      <c r="L18" s="45">
        <f>(14.336042+2744.522)*2.204622/60</f>
        <v>101.3706522378354</v>
      </c>
      <c r="M18" s="107"/>
      <c r="N18" s="107"/>
      <c r="R18" s="160"/>
    </row>
    <row r="19" spans="1:18" ht="16.5" customHeight="1" x14ac:dyDescent="0.25">
      <c r="A19" s="24" t="s">
        <v>62</v>
      </c>
      <c r="B19" s="107"/>
      <c r="C19" s="107"/>
      <c r="D19" s="107"/>
      <c r="E19" s="42">
        <f>N15</f>
        <v>3252.4879999999998</v>
      </c>
      <c r="F19" s="44"/>
      <c r="G19" s="45">
        <f>SUM(G16:G18)</f>
        <v>4.0501974606387003</v>
      </c>
      <c r="H19" s="46">
        <f>E19+F19+G19</f>
        <v>3256.5381974606385</v>
      </c>
      <c r="I19" s="107"/>
      <c r="J19" s="46">
        <f>SUM(J16:J18)</f>
        <v>548.81513333333328</v>
      </c>
      <c r="K19" s="47">
        <f>M19-L19-J19</f>
        <v>-51.836955434622951</v>
      </c>
      <c r="L19" s="45">
        <f>SUM(L16:L18)</f>
        <v>504.67801956192807</v>
      </c>
      <c r="M19" s="45">
        <f>H19-N19</f>
        <v>1001.6561974606384</v>
      </c>
      <c r="N19" s="46">
        <v>2254.8820000000001</v>
      </c>
      <c r="R19" s="160"/>
    </row>
    <row r="20" spans="1:18" ht="16.5" customHeight="1" x14ac:dyDescent="0.25">
      <c r="A20" s="24" t="s">
        <v>88</v>
      </c>
      <c r="B20" s="107"/>
      <c r="C20" s="107"/>
      <c r="D20" s="107"/>
      <c r="E20" s="42"/>
      <c r="F20" s="44"/>
      <c r="G20" s="45">
        <f>(13.511735+22.972721+5.958844)*2.204622/60</f>
        <v>1.5595238822100002</v>
      </c>
      <c r="H20" s="46"/>
      <c r="I20" s="107"/>
      <c r="J20" s="46">
        <f>5.764867*2000/60</f>
        <v>192.16223333333335</v>
      </c>
      <c r="K20" s="47"/>
      <c r="L20" s="45">
        <f>(18.610925+2552.241)*2.204622/60</f>
        <v>94.462611876622503</v>
      </c>
      <c r="M20" s="45"/>
      <c r="N20" s="46"/>
    </row>
    <row r="21" spans="1:18" ht="16.5" customHeight="1" x14ac:dyDescent="0.25">
      <c r="A21" s="24" t="s">
        <v>89</v>
      </c>
      <c r="B21" s="107"/>
      <c r="C21" s="107"/>
      <c r="D21" s="107"/>
      <c r="E21" s="42"/>
      <c r="F21" s="44"/>
      <c r="G21" s="45">
        <f>(5.570598+10.245373+9.643559)*2.204622/60</f>
        <v>0.93547733246100007</v>
      </c>
      <c r="H21" s="46"/>
      <c r="I21" s="107"/>
      <c r="J21" s="46">
        <f>5.501825*2000/60</f>
        <v>183.39416666666665</v>
      </c>
      <c r="K21" s="47"/>
      <c r="L21" s="45">
        <f>(20.838345+2142.276)*2.204622/60</f>
        <v>79.480824558376497</v>
      </c>
      <c r="M21" s="45"/>
      <c r="N21" s="46"/>
    </row>
    <row r="22" spans="1:18" ht="16.5" customHeight="1" x14ac:dyDescent="0.25">
      <c r="A22" s="24" t="s">
        <v>90</v>
      </c>
      <c r="B22" s="107"/>
      <c r="C22" s="107"/>
      <c r="D22" s="107"/>
      <c r="E22" s="42"/>
      <c r="F22" s="44"/>
      <c r="G22" s="45">
        <f>(2.133054+19.16263+9.57398)*2.204622/60</f>
        <v>1.1342656731168002</v>
      </c>
      <c r="H22" s="46"/>
      <c r="I22" s="107"/>
      <c r="J22" s="46">
        <f>5.386534*2000/60</f>
        <v>179.55113333333335</v>
      </c>
      <c r="K22" s="47"/>
      <c r="L22" s="45">
        <f>(21.557089+1943.847)*2.204622/60</f>
        <v>72.216218224989291</v>
      </c>
      <c r="M22" s="45"/>
      <c r="N22" s="46"/>
    </row>
    <row r="23" spans="1:18" ht="16.5" customHeight="1" x14ac:dyDescent="0.25">
      <c r="A23" s="24" t="s">
        <v>63</v>
      </c>
      <c r="B23" s="27"/>
      <c r="C23" s="27"/>
      <c r="D23" s="27"/>
      <c r="E23" s="42">
        <f>N19</f>
        <v>2254.8820000000001</v>
      </c>
      <c r="F23" s="48"/>
      <c r="G23" s="45">
        <f>SUM(G20:G22)</f>
        <v>3.6292668877878005</v>
      </c>
      <c r="H23" s="46">
        <f>E23+F23+G23</f>
        <v>2258.5112668877878</v>
      </c>
      <c r="I23" s="46"/>
      <c r="J23" s="46">
        <f>SUM(J20:J22)</f>
        <v>555.10753333333332</v>
      </c>
      <c r="K23" s="49">
        <f>M23-L23-J23</f>
        <v>75.850078894466151</v>
      </c>
      <c r="L23" s="45">
        <f>SUM(L20:L22)</f>
        <v>246.15965465998829</v>
      </c>
      <c r="M23" s="45">
        <f>H23-N23</f>
        <v>877.11726688778776</v>
      </c>
      <c r="N23" s="46">
        <v>1381.394</v>
      </c>
    </row>
    <row r="24" spans="1:18" ht="16.5" customHeight="1" x14ac:dyDescent="0.25">
      <c r="A24" s="24" t="s">
        <v>125</v>
      </c>
      <c r="B24" s="27"/>
      <c r="C24" s="27"/>
      <c r="D24" s="27"/>
      <c r="E24" s="42"/>
      <c r="F24" s="48"/>
      <c r="G24" s="45">
        <f>(2.390293+33.764567+8.787479)*2.204622/60</f>
        <v>1.6513478215142998</v>
      </c>
      <c r="H24" s="46"/>
      <c r="I24" s="46"/>
      <c r="J24" s="46">
        <f>5.318419*2000/60</f>
        <v>177.28063333333333</v>
      </c>
      <c r="K24" s="49"/>
      <c r="L24" s="45">
        <f>(21.146851+1778.049)*2.204622/60</f>
        <v>66.109112590388705</v>
      </c>
      <c r="M24" s="45"/>
      <c r="N24" s="46"/>
    </row>
    <row r="25" spans="1:18" ht="16.5" customHeight="1" x14ac:dyDescent="0.25">
      <c r="A25" s="24" t="s">
        <v>126</v>
      </c>
      <c r="B25" s="27"/>
      <c r="C25" s="27"/>
      <c r="D25" s="27"/>
      <c r="E25" s="42"/>
      <c r="F25" s="48"/>
      <c r="G25" s="45">
        <f>(2.3824143+38.020274+7.574612)*2.204622/60</f>
        <v>1.7628635290331103</v>
      </c>
      <c r="H25" s="46"/>
      <c r="I25" s="46"/>
      <c r="J25" s="46">
        <f>5.535196*2000/60</f>
        <v>184.50653333333332</v>
      </c>
      <c r="K25" s="49"/>
      <c r="L25" s="45">
        <f>(24.132099+2192.059)*2.204622/60</f>
        <v>81.431060884326314</v>
      </c>
      <c r="M25" s="45"/>
      <c r="N25" s="46"/>
    </row>
    <row r="26" spans="1:18" ht="16.5" customHeight="1" x14ac:dyDescent="0.25">
      <c r="A26" s="24" t="s">
        <v>127</v>
      </c>
      <c r="B26" s="27"/>
      <c r="C26" s="27"/>
      <c r="D26" s="27"/>
      <c r="E26" s="42"/>
      <c r="F26" s="48"/>
      <c r="G26" s="45">
        <f>(0.701049+12.986497+5.864772)*2.204622/60</f>
        <v>0.71842450689659998</v>
      </c>
      <c r="H26" s="46"/>
      <c r="I26" s="46"/>
      <c r="J26" s="46">
        <f>5.24023*2000/60</f>
        <v>174.67433333333335</v>
      </c>
      <c r="K26" s="49"/>
      <c r="L26" s="45">
        <f>(30.796122+4676.896)*2.204622/60</f>
        <v>172.97802702313138</v>
      </c>
      <c r="M26" s="45"/>
      <c r="N26" s="46"/>
    </row>
    <row r="27" spans="1:18" ht="16.5" customHeight="1" x14ac:dyDescent="0.25">
      <c r="A27" s="24" t="s">
        <v>130</v>
      </c>
      <c r="B27" s="27"/>
      <c r="C27" s="27"/>
      <c r="D27" s="27"/>
      <c r="E27" s="42">
        <f>N23</f>
        <v>1381.394</v>
      </c>
      <c r="F27" s="48"/>
      <c r="G27" s="45">
        <f>SUM(G24:G26)</f>
        <v>4.1326358574440096</v>
      </c>
      <c r="H27" s="46">
        <f>E27+F27+G27</f>
        <v>1385.526635857444</v>
      </c>
      <c r="I27" s="46"/>
      <c r="J27" s="46">
        <f>SUM(J24:J26)</f>
        <v>536.4615</v>
      </c>
      <c r="K27" s="49">
        <f>M27-L27-J27</f>
        <v>4.005935359597629</v>
      </c>
      <c r="L27" s="45">
        <f>SUM(L24:L26)</f>
        <v>320.51820049784635</v>
      </c>
      <c r="M27" s="45">
        <f>H27-N27</f>
        <v>860.98563585744398</v>
      </c>
      <c r="N27" s="46">
        <v>524.54100000000005</v>
      </c>
    </row>
    <row r="28" spans="1:18" ht="16.5" customHeight="1" x14ac:dyDescent="0.25">
      <c r="A28" s="24" t="s">
        <v>3</v>
      </c>
      <c r="B28" s="107"/>
      <c r="C28" s="107"/>
      <c r="D28" s="107"/>
      <c r="E28" s="42"/>
      <c r="F28" s="44">
        <f>F15</f>
        <v>3551.9079999999999</v>
      </c>
      <c r="G28" s="45">
        <f>G15+G19+G23+G27</f>
        <v>15.399722739414511</v>
      </c>
      <c r="H28" s="46">
        <f>E15+F28+G28</f>
        <v>4476.3597227394148</v>
      </c>
      <c r="I28" s="107"/>
      <c r="J28" s="46">
        <f>J15+J19+J23+J27</f>
        <v>2164.5542333333333</v>
      </c>
      <c r="K28" s="49">
        <f>K15+K19+K23+K27</f>
        <v>105.24171692492666</v>
      </c>
      <c r="L28" s="45">
        <f>L15+L19+L23+L27</f>
        <v>1682.0227724811543</v>
      </c>
      <c r="M28" s="45">
        <f>M15+M19+M23+M27</f>
        <v>3951.8187227394142</v>
      </c>
      <c r="N28" s="46"/>
    </row>
    <row r="29" spans="1:18" ht="16.5" customHeight="1" x14ac:dyDescent="0.25">
      <c r="A29" s="24"/>
      <c r="B29" s="107"/>
      <c r="C29" s="107"/>
      <c r="D29" s="107"/>
      <c r="E29" s="42"/>
      <c r="F29" s="44"/>
      <c r="G29" s="45"/>
      <c r="H29" s="46"/>
      <c r="I29" s="107"/>
      <c r="J29" s="46"/>
      <c r="K29" s="49"/>
      <c r="L29" s="45"/>
      <c r="M29" s="45"/>
      <c r="N29" s="46"/>
      <c r="Q29" s="160"/>
    </row>
    <row r="30" spans="1:18" ht="16.5" customHeight="1" x14ac:dyDescent="0.25">
      <c r="A30" s="139" t="s">
        <v>128</v>
      </c>
      <c r="B30" s="107"/>
      <c r="C30" s="107"/>
      <c r="D30" s="107"/>
      <c r="E30" s="42"/>
      <c r="F30" s="44"/>
      <c r="G30" s="45"/>
      <c r="H30" s="46"/>
      <c r="I30" s="107"/>
      <c r="J30" s="46"/>
      <c r="K30" s="49"/>
      <c r="L30" s="45"/>
      <c r="M30" s="45"/>
      <c r="N30" s="46"/>
      <c r="Q30" s="160"/>
    </row>
    <row r="31" spans="1:18" ht="16.5" customHeight="1" x14ac:dyDescent="0.25">
      <c r="A31" s="27" t="s">
        <v>80</v>
      </c>
      <c r="B31" s="107"/>
      <c r="C31" s="107"/>
      <c r="D31" s="107"/>
      <c r="E31" s="42"/>
      <c r="F31" s="44"/>
      <c r="G31" s="45">
        <f>(0.991907+40.308831+3.223895)*2.204622/60</f>
        <v>1.6359997575620999</v>
      </c>
      <c r="I31" s="107"/>
      <c r="J31" s="46">
        <f>5.131665*2000/60</f>
        <v>171.05549999999999</v>
      </c>
      <c r="K31" s="47"/>
      <c r="L31" s="45">
        <f>(34.30443+7142.853)*2.204622/60</f>
        <v>263.71531946069103</v>
      </c>
      <c r="M31" s="45"/>
      <c r="N31" s="46"/>
      <c r="Q31" s="160"/>
    </row>
    <row r="32" spans="1:18" ht="16.5" customHeight="1" x14ac:dyDescent="0.25">
      <c r="A32" s="27" t="s">
        <v>82</v>
      </c>
      <c r="B32" s="107"/>
      <c r="C32" s="107"/>
      <c r="D32" s="107"/>
      <c r="E32" s="117"/>
      <c r="F32" s="44"/>
      <c r="G32" s="45">
        <f>(2.771319+17.330953+4.808326)*2.204622/60</f>
        <v>0.91530753973260004</v>
      </c>
      <c r="I32" s="107"/>
      <c r="J32" s="46">
        <f>5.897079*2000/60</f>
        <v>196.5693</v>
      </c>
      <c r="K32" s="47"/>
      <c r="L32" s="45">
        <f>(44.27145+11528.604)*2.204622/60</f>
        <v>425.23026367216499</v>
      </c>
      <c r="M32" s="45"/>
      <c r="N32" s="46"/>
      <c r="Q32" s="160"/>
    </row>
    <row r="33" spans="1:73" ht="16.5" customHeight="1" x14ac:dyDescent="0.25">
      <c r="A33" s="27" t="s">
        <v>84</v>
      </c>
      <c r="B33" s="107"/>
      <c r="C33" s="107"/>
      <c r="D33" s="107"/>
      <c r="E33" s="117"/>
      <c r="F33" s="44"/>
      <c r="G33" s="45">
        <f>(3.096115+4.442072+4.893559)*2.204622/60</f>
        <v>0.45678834550020003</v>
      </c>
      <c r="I33" s="107"/>
      <c r="J33" s="46">
        <f>5.731207*2000/60</f>
        <v>191.04023333333333</v>
      </c>
      <c r="K33" s="47"/>
      <c r="L33" s="45">
        <f>(47.735577+11048.716)*2.204622/60</f>
        <v>407.7246878098149</v>
      </c>
      <c r="M33" s="45"/>
      <c r="N33" s="46"/>
      <c r="Q33" s="160"/>
    </row>
    <row r="34" spans="1:73" ht="16.5" customHeight="1" x14ac:dyDescent="0.25">
      <c r="A34" s="27" t="s">
        <v>61</v>
      </c>
      <c r="B34" s="107"/>
      <c r="C34" s="107"/>
      <c r="D34" s="107"/>
      <c r="E34" s="42">
        <f>N27</f>
        <v>524.54100000000005</v>
      </c>
      <c r="F34" s="44">
        <v>4135.4769999999999</v>
      </c>
      <c r="G34" s="45">
        <f>G31+G32+G33</f>
        <v>3.0080956427948999</v>
      </c>
      <c r="H34" s="46">
        <f>E34+F34+G34</f>
        <v>4663.0260956427946</v>
      </c>
      <c r="I34" s="107"/>
      <c r="J34" s="46">
        <f>J31+J32+J33</f>
        <v>558.66503333333333</v>
      </c>
      <c r="K34" s="47">
        <f>M34-L34-J34</f>
        <v>60.950791366790668</v>
      </c>
      <c r="L34" s="45">
        <f>L31+L32+L33</f>
        <v>1096.6702709426709</v>
      </c>
      <c r="M34" s="45">
        <f>H34-N34</f>
        <v>1716.2860956427949</v>
      </c>
      <c r="N34" s="46">
        <v>2946.74</v>
      </c>
      <c r="Q34" s="160"/>
    </row>
    <row r="35" spans="1:73" ht="16.8" customHeight="1" x14ac:dyDescent="0.25">
      <c r="A35" s="24" t="s">
        <v>47</v>
      </c>
      <c r="B35" s="107"/>
      <c r="C35" s="107"/>
      <c r="D35" s="107"/>
      <c r="E35" s="42"/>
      <c r="F35" s="45"/>
      <c r="G35" s="45">
        <f>(2.581799+15.016846+5.826621)*2.204622/60</f>
        <v>0.86073094632419989</v>
      </c>
      <c r="H35" s="46"/>
      <c r="I35" s="107"/>
      <c r="J35" s="46">
        <f>5.794233*2000/60</f>
        <v>193.14109999999999</v>
      </c>
      <c r="K35" s="47"/>
      <c r="L35" s="45">
        <f>(53.015482+10764.676)*2.204622/60</f>
        <v>397.48201050716341</v>
      </c>
      <c r="M35" s="45"/>
      <c r="N35" s="46"/>
      <c r="Q35" s="160"/>
    </row>
    <row r="36" spans="1:73" ht="16.8" customHeight="1" x14ac:dyDescent="0.25">
      <c r="A36" s="24" t="s">
        <v>48</v>
      </c>
      <c r="B36" s="107"/>
      <c r="C36" s="107"/>
      <c r="D36" s="107"/>
      <c r="E36" s="42"/>
      <c r="F36" s="45"/>
      <c r="G36" s="45">
        <f>(2.3331+4.4056+12.8993)*2.204622/60</f>
        <v>0.72157278059999996</v>
      </c>
      <c r="H36" s="46"/>
      <c r="I36" s="107"/>
      <c r="J36" s="46">
        <f>5.89536*2000/60</f>
        <v>196.51200000000003</v>
      </c>
      <c r="K36" s="47"/>
      <c r="L36" s="45">
        <f>(55.748622+8773.551)*2.204622/60</f>
        <v>324.42113652088136</v>
      </c>
      <c r="M36" s="45"/>
      <c r="N36" s="46"/>
      <c r="Q36" s="160"/>
    </row>
    <row r="37" spans="1:73" ht="16.8" customHeight="1" x14ac:dyDescent="0.25">
      <c r="A37" s="24" t="s">
        <v>49</v>
      </c>
      <c r="B37" s="107"/>
      <c r="C37" s="107"/>
      <c r="D37" s="107"/>
      <c r="E37" s="42"/>
      <c r="F37" s="45"/>
      <c r="G37" s="45">
        <f>(2.5313+6.8033+13.2182)*2.204622/60</f>
        <v>0.82867331735999994</v>
      </c>
      <c r="H37" s="46"/>
      <c r="I37" s="107"/>
      <c r="J37" s="46">
        <f>4.930499*2000/60</f>
        <v>164.34996666666666</v>
      </c>
      <c r="K37" s="47"/>
      <c r="L37" s="45">
        <f>(40.485144+4518.222)*2.204622/60</f>
        <v>167.5037676869928</v>
      </c>
      <c r="M37" s="45"/>
      <c r="N37" s="46"/>
      <c r="Q37" s="160"/>
    </row>
    <row r="38" spans="1:73" ht="16.8" customHeight="1" x14ac:dyDescent="0.25">
      <c r="A38" s="24" t="s">
        <v>62</v>
      </c>
      <c r="B38" s="107"/>
      <c r="C38" s="107"/>
      <c r="D38" s="107"/>
      <c r="E38" s="42">
        <f>N34</f>
        <v>2946.74</v>
      </c>
      <c r="F38" s="45"/>
      <c r="G38" s="45">
        <f>SUM(G35:G37)</f>
        <v>2.4109770442841998</v>
      </c>
      <c r="H38" s="46">
        <f>E38+F38+G38</f>
        <v>2949.150977044284</v>
      </c>
      <c r="I38" s="107"/>
      <c r="J38" s="46">
        <f>SUM(J35:J37)</f>
        <v>554.00306666666665</v>
      </c>
      <c r="K38" s="47">
        <f>M38-L38-J38</f>
        <v>-58.423004337420139</v>
      </c>
      <c r="L38" s="45">
        <f>SUM(L35:L37)</f>
        <v>889.40691471503749</v>
      </c>
      <c r="M38" s="45">
        <f>H38-N38</f>
        <v>1384.986977044284</v>
      </c>
      <c r="N38" s="129">
        <v>1564.164</v>
      </c>
      <c r="Q38" s="160"/>
    </row>
    <row r="39" spans="1:73" ht="16.8" customHeight="1" x14ac:dyDescent="0.25">
      <c r="A39" s="24" t="s">
        <v>50</v>
      </c>
      <c r="B39" s="107"/>
      <c r="C39" s="107"/>
      <c r="D39" s="107"/>
      <c r="E39" s="42"/>
      <c r="F39" s="45"/>
      <c r="G39" s="45">
        <f>(4.863+8.0296+13.2501)*2.204622/60</f>
        <v>0.96057952599000018</v>
      </c>
      <c r="H39" s="46"/>
      <c r="I39" s="107"/>
      <c r="J39" s="46">
        <f>5.646728*2000/60</f>
        <v>188.22426666666667</v>
      </c>
      <c r="K39" s="47"/>
      <c r="L39" s="45">
        <f>(34.491759+2260.63)*2.204622/60</f>
        <v>84.331265376168318</v>
      </c>
      <c r="M39" s="45"/>
      <c r="N39" s="129"/>
      <c r="Q39" s="160"/>
    </row>
    <row r="40" spans="1:73" ht="16.8" customHeight="1" x14ac:dyDescent="0.25">
      <c r="A40" s="24" t="s">
        <v>51</v>
      </c>
      <c r="B40" s="107"/>
      <c r="C40" s="107"/>
      <c r="D40" s="107"/>
      <c r="E40" s="42"/>
      <c r="F40" s="45"/>
      <c r="G40" s="45">
        <f>(34.7341)*2.204622/60</f>
        <v>1.2762593501700001</v>
      </c>
      <c r="H40" s="46"/>
      <c r="I40" s="107"/>
      <c r="J40" s="136">
        <f>5.095631*2000/60</f>
        <v>169.85436666666666</v>
      </c>
      <c r="K40" s="47"/>
      <c r="L40" s="45">
        <f>(1384.9244)*2.204622/60</f>
        <v>50.887246676280007</v>
      </c>
      <c r="M40" s="45"/>
      <c r="N40" s="129"/>
      <c r="Q40" s="160"/>
    </row>
    <row r="41" spans="1:73" ht="16.5" customHeight="1" x14ac:dyDescent="0.25">
      <c r="A41" s="23" t="s">
        <v>129</v>
      </c>
      <c r="B41" s="105"/>
      <c r="C41" s="105"/>
      <c r="D41" s="105"/>
      <c r="E41" s="121"/>
      <c r="F41" s="122">
        <f>F34</f>
        <v>4135.4769999999999</v>
      </c>
      <c r="G41" s="50">
        <f>G34+G38+SUM(G39:G40)</f>
        <v>7.6559115632390995</v>
      </c>
      <c r="H41" s="106">
        <f>E34+F41+G41</f>
        <v>4667.673911563239</v>
      </c>
      <c r="I41" s="105"/>
      <c r="J41" s="106">
        <f>J34+J38+SUM(J39:J40)</f>
        <v>1470.7467333333332</v>
      </c>
      <c r="K41" s="123">
        <f>SUM(K31:K38)</f>
        <v>2.5277870293705291</v>
      </c>
      <c r="L41" s="50">
        <f>L34+L38+SUM(L39:L40)</f>
        <v>2121.2956977101567</v>
      </c>
      <c r="M41" s="50">
        <f>SUM(M31:M38)</f>
        <v>3101.2730726870786</v>
      </c>
      <c r="N41" s="124"/>
      <c r="Q41" s="160"/>
    </row>
    <row r="42" spans="1:73" ht="16.5" customHeight="1" x14ac:dyDescent="0.25">
      <c r="A42" s="51" t="s">
        <v>121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52"/>
      <c r="M42" s="27"/>
      <c r="N42" s="27"/>
    </row>
    <row r="43" spans="1:73" ht="16.5" customHeight="1" x14ac:dyDescent="0.3">
      <c r="A43" s="24" t="s">
        <v>150</v>
      </c>
      <c r="B43" s="24"/>
      <c r="C43" s="24"/>
      <c r="D43" s="24"/>
      <c r="E43" s="53"/>
      <c r="F43" s="53"/>
      <c r="G43" s="53"/>
      <c r="H43" s="53"/>
      <c r="I43" s="53"/>
      <c r="J43" s="53"/>
      <c r="K43" s="53"/>
      <c r="L43" s="53"/>
      <c r="M43" s="53"/>
      <c r="N43" s="53"/>
    </row>
    <row r="44" spans="1:73" ht="16.5" customHeight="1" x14ac:dyDescent="0.25">
      <c r="A44" s="24" t="s">
        <v>196</v>
      </c>
      <c r="B44" s="24"/>
      <c r="C44" s="24"/>
      <c r="D44" s="24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</row>
    <row r="45" spans="1:73" ht="16.5" customHeight="1" x14ac:dyDescent="0.25">
      <c r="A45" s="28" t="s">
        <v>18</v>
      </c>
      <c r="B45" s="54">
        <f ca="1">NOW()</f>
        <v>44368.339088773151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</row>
    <row r="46" spans="1:73" x14ac:dyDescent="0.25"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</row>
    <row r="47" spans="1:73" x14ac:dyDescent="0.25"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</row>
    <row r="48" spans="1:73" x14ac:dyDescent="0.25"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</row>
    <row r="49" spans="6:73" x14ac:dyDescent="0.25">
      <c r="F49" s="13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</row>
    <row r="50" spans="6:73" x14ac:dyDescent="0.25"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</row>
    <row r="51" spans="6:73" x14ac:dyDescent="0.25"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</row>
    <row r="52" spans="6:73" x14ac:dyDescent="0.25"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</row>
    <row r="53" spans="6:73" x14ac:dyDescent="0.25"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</row>
    <row r="54" spans="6:73" x14ac:dyDescent="0.25"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</row>
    <row r="55" spans="6:73" x14ac:dyDescent="0.25"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</row>
    <row r="56" spans="6:73" x14ac:dyDescent="0.25"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</row>
    <row r="57" spans="6:73" x14ac:dyDescent="0.25"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</row>
    <row r="58" spans="6:73" x14ac:dyDescent="0.25"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</row>
    <row r="59" spans="6:73" x14ac:dyDescent="0.25"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</row>
    <row r="60" spans="6:73" x14ac:dyDescent="0.25"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</row>
    <row r="61" spans="6:73" x14ac:dyDescent="0.25"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</row>
    <row r="62" spans="6:73" x14ac:dyDescent="0.25"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</row>
    <row r="63" spans="6:73" x14ac:dyDescent="0.25"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</row>
    <row r="64" spans="6:73" x14ac:dyDescent="0.25"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</row>
    <row r="65" spans="15:73" x14ac:dyDescent="0.25"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</row>
    <row r="66" spans="15:73" x14ac:dyDescent="0.25"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</row>
    <row r="67" spans="15:73" x14ac:dyDescent="0.25"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</row>
    <row r="68" spans="15:73" x14ac:dyDescent="0.25"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</row>
    <row r="69" spans="15:73" x14ac:dyDescent="0.25"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</row>
    <row r="70" spans="15:73" x14ac:dyDescent="0.25"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</row>
    <row r="71" spans="15:73" x14ac:dyDescent="0.25"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</row>
    <row r="72" spans="15:73" x14ac:dyDescent="0.25"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</row>
    <row r="73" spans="15:73" x14ac:dyDescent="0.25"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</row>
    <row r="74" spans="15:73" x14ac:dyDescent="0.25"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</row>
    <row r="75" spans="15:73" x14ac:dyDescent="0.25"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</row>
    <row r="76" spans="15:73" x14ac:dyDescent="0.25"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</row>
    <row r="77" spans="15:73" x14ac:dyDescent="0.25"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</row>
    <row r="78" spans="15:73" x14ac:dyDescent="0.25"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</row>
    <row r="79" spans="15:73" x14ac:dyDescent="0.25"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</row>
    <row r="80" spans="15:73" x14ac:dyDescent="0.25"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</row>
    <row r="81" spans="15:73" x14ac:dyDescent="0.25"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</row>
    <row r="82" spans="15:73" x14ac:dyDescent="0.25"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</row>
    <row r="83" spans="15:73" x14ac:dyDescent="0.25"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</row>
    <row r="84" spans="15:73" x14ac:dyDescent="0.25"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</row>
    <row r="85" spans="15:73" x14ac:dyDescent="0.25"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</row>
    <row r="86" spans="15:73" x14ac:dyDescent="0.25"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</row>
    <row r="87" spans="15:73" x14ac:dyDescent="0.25"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</row>
    <row r="88" spans="15:73" x14ac:dyDescent="0.25"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</row>
    <row r="89" spans="15:73" x14ac:dyDescent="0.25"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</row>
    <row r="90" spans="15:73" x14ac:dyDescent="0.25"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</row>
    <row r="91" spans="15:73" x14ac:dyDescent="0.25"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</row>
    <row r="92" spans="15:73" x14ac:dyDescent="0.25"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</row>
    <row r="93" spans="15:73" x14ac:dyDescent="0.25"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</row>
    <row r="94" spans="15:73" x14ac:dyDescent="0.25"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</row>
    <row r="95" spans="15:73" x14ac:dyDescent="0.25"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</row>
    <row r="96" spans="15:73" x14ac:dyDescent="0.25"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</row>
    <row r="97" spans="15:73" x14ac:dyDescent="0.25"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</row>
    <row r="98" spans="15:73" x14ac:dyDescent="0.25"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</row>
    <row r="99" spans="15:73" x14ac:dyDescent="0.25"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</row>
    <row r="100" spans="15:73" x14ac:dyDescent="0.25"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</row>
    <row r="101" spans="15:73" x14ac:dyDescent="0.25"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</row>
    <row r="102" spans="15:73" x14ac:dyDescent="0.25"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</row>
    <row r="103" spans="15:73" x14ac:dyDescent="0.25"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</row>
    <row r="104" spans="15:73" x14ac:dyDescent="0.25"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</row>
    <row r="105" spans="15:73" x14ac:dyDescent="0.25"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</row>
    <row r="106" spans="15:73" x14ac:dyDescent="0.25"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</row>
    <row r="107" spans="15:73" x14ac:dyDescent="0.25"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</row>
    <row r="108" spans="15:73" x14ac:dyDescent="0.25"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</row>
    <row r="109" spans="15:73" x14ac:dyDescent="0.25"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</row>
    <row r="110" spans="15:73" x14ac:dyDescent="0.25"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</row>
    <row r="111" spans="15:73" x14ac:dyDescent="0.25"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</row>
    <row r="112" spans="15:73" x14ac:dyDescent="0.25"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</row>
    <row r="113" spans="15:73" x14ac:dyDescent="0.25"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</row>
    <row r="114" spans="15:73" x14ac:dyDescent="0.25"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</row>
    <row r="115" spans="15:73" x14ac:dyDescent="0.25"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</row>
    <row r="116" spans="15:73" x14ac:dyDescent="0.25"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</row>
    <row r="117" spans="15:73" x14ac:dyDescent="0.25"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</row>
    <row r="118" spans="15:73" x14ac:dyDescent="0.25"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</row>
    <row r="119" spans="15:73" x14ac:dyDescent="0.25"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</row>
    <row r="120" spans="15:73" x14ac:dyDescent="0.25"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</row>
    <row r="121" spans="15:73" x14ac:dyDescent="0.25"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</row>
    <row r="122" spans="15:73" x14ac:dyDescent="0.25"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</row>
    <row r="123" spans="15:73" x14ac:dyDescent="0.25"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</row>
    <row r="124" spans="15:73" x14ac:dyDescent="0.25"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</row>
    <row r="125" spans="15:73" x14ac:dyDescent="0.25"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</row>
    <row r="126" spans="15:73" x14ac:dyDescent="0.25"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</row>
    <row r="127" spans="15:73" x14ac:dyDescent="0.25"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</row>
    <row r="128" spans="15:73" x14ac:dyDescent="0.25"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</row>
    <row r="129" spans="15:73" x14ac:dyDescent="0.25"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</row>
    <row r="130" spans="15:73" x14ac:dyDescent="0.25"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</row>
    <row r="131" spans="15:73" x14ac:dyDescent="0.25"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</row>
    <row r="132" spans="15:73" x14ac:dyDescent="0.25"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</row>
    <row r="133" spans="15:73" x14ac:dyDescent="0.25"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</row>
    <row r="134" spans="15:73" x14ac:dyDescent="0.25"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</row>
    <row r="135" spans="15:73" x14ac:dyDescent="0.25"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</row>
    <row r="136" spans="15:73" x14ac:dyDescent="0.25"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</row>
    <row r="137" spans="15:73" x14ac:dyDescent="0.25"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</row>
    <row r="138" spans="15:73" x14ac:dyDescent="0.25"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</row>
    <row r="139" spans="15:73" x14ac:dyDescent="0.25"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</row>
    <row r="140" spans="15:73" x14ac:dyDescent="0.25"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</row>
    <row r="141" spans="15:73" x14ac:dyDescent="0.25"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</row>
    <row r="142" spans="15:73" x14ac:dyDescent="0.25"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</row>
    <row r="143" spans="15:73" x14ac:dyDescent="0.25"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</row>
    <row r="144" spans="15:73" x14ac:dyDescent="0.25"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</row>
    <row r="145" spans="15:73" x14ac:dyDescent="0.25"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</row>
    <row r="146" spans="15:73" x14ac:dyDescent="0.25"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</row>
    <row r="147" spans="15:73" x14ac:dyDescent="0.25"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</row>
    <row r="148" spans="15:73" x14ac:dyDescent="0.25"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</row>
    <row r="149" spans="15:73" x14ac:dyDescent="0.25"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</row>
    <row r="150" spans="15:73" x14ac:dyDescent="0.25"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</row>
    <row r="151" spans="15:73" x14ac:dyDescent="0.25"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</row>
    <row r="152" spans="15:73" x14ac:dyDescent="0.25"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</row>
    <row r="153" spans="15:73" x14ac:dyDescent="0.25"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</row>
    <row r="154" spans="15:73" x14ac:dyDescent="0.25"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</row>
    <row r="155" spans="15:73" x14ac:dyDescent="0.25"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</row>
    <row r="156" spans="15:73" x14ac:dyDescent="0.25"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</row>
    <row r="157" spans="15:73" x14ac:dyDescent="0.25"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</row>
    <row r="158" spans="15:73" x14ac:dyDescent="0.25"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</row>
    <row r="159" spans="15:73" x14ac:dyDescent="0.25"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</row>
    <row r="160" spans="15:73" x14ac:dyDescent="0.25"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</row>
    <row r="161" spans="15:73" x14ac:dyDescent="0.25"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</row>
    <row r="162" spans="15:73" x14ac:dyDescent="0.25"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</row>
    <row r="163" spans="15:73" x14ac:dyDescent="0.25"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</row>
    <row r="164" spans="15:73" x14ac:dyDescent="0.25"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</row>
    <row r="165" spans="15:73" x14ac:dyDescent="0.25"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</row>
    <row r="166" spans="15:73" x14ac:dyDescent="0.25"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</row>
    <row r="167" spans="15:73" x14ac:dyDescent="0.25"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</row>
    <row r="168" spans="15:73" x14ac:dyDescent="0.25"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</row>
    <row r="169" spans="15:73" x14ac:dyDescent="0.25"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</row>
    <row r="170" spans="15:73" x14ac:dyDescent="0.25"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</row>
    <row r="171" spans="15:73" x14ac:dyDescent="0.25"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</row>
    <row r="172" spans="15:73" x14ac:dyDescent="0.25"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</row>
    <row r="173" spans="15:73" x14ac:dyDescent="0.25"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</row>
    <row r="174" spans="15:73" x14ac:dyDescent="0.25"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</row>
    <row r="175" spans="15:73" x14ac:dyDescent="0.25"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</row>
    <row r="176" spans="15:73" x14ac:dyDescent="0.25"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</row>
    <row r="177" spans="15:73" x14ac:dyDescent="0.25"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</row>
    <row r="178" spans="15:73" x14ac:dyDescent="0.25"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</row>
    <row r="179" spans="15:73" x14ac:dyDescent="0.25"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</row>
    <row r="180" spans="15:73" x14ac:dyDescent="0.25"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</row>
    <row r="181" spans="15:73" x14ac:dyDescent="0.25"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</row>
    <row r="182" spans="15:73" x14ac:dyDescent="0.25"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</row>
    <row r="183" spans="15:73" x14ac:dyDescent="0.25"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</row>
    <row r="184" spans="15:73" x14ac:dyDescent="0.25"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</row>
    <row r="185" spans="15:73" x14ac:dyDescent="0.25"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</row>
    <row r="186" spans="15:73" x14ac:dyDescent="0.25"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</row>
    <row r="187" spans="15:73" x14ac:dyDescent="0.25"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</row>
    <row r="188" spans="15:73" x14ac:dyDescent="0.25"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</row>
    <row r="189" spans="15:73" x14ac:dyDescent="0.25"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</row>
    <row r="190" spans="15:73" x14ac:dyDescent="0.25"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</row>
    <row r="191" spans="15:73" x14ac:dyDescent="0.25"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</row>
    <row r="192" spans="15:73" x14ac:dyDescent="0.25"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</row>
    <row r="193" spans="15:73" x14ac:dyDescent="0.25"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</row>
    <row r="194" spans="15:73" x14ac:dyDescent="0.25"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</row>
    <row r="195" spans="15:73" x14ac:dyDescent="0.25"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</row>
    <row r="196" spans="15:73" x14ac:dyDescent="0.25"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</row>
    <row r="197" spans="15:73" x14ac:dyDescent="0.25"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</row>
    <row r="198" spans="15:73" x14ac:dyDescent="0.25"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</row>
    <row r="199" spans="15:73" x14ac:dyDescent="0.25"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</row>
    <row r="200" spans="15:73" x14ac:dyDescent="0.25"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</row>
    <row r="201" spans="15:73" x14ac:dyDescent="0.25"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</row>
    <row r="202" spans="15:73" x14ac:dyDescent="0.25"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</row>
    <row r="203" spans="15:73" x14ac:dyDescent="0.25"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</row>
    <row r="204" spans="15:73" x14ac:dyDescent="0.25"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</row>
    <row r="205" spans="15:73" x14ac:dyDescent="0.25"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</row>
    <row r="206" spans="15:73" x14ac:dyDescent="0.25"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</row>
    <row r="207" spans="15:73" x14ac:dyDescent="0.25"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</row>
    <row r="208" spans="15:73" x14ac:dyDescent="0.25"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</row>
    <row r="209" spans="15:73" x14ac:dyDescent="0.25"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</row>
    <row r="210" spans="15:73" x14ac:dyDescent="0.25"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</row>
    <row r="211" spans="15:73" x14ac:dyDescent="0.25"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</row>
    <row r="212" spans="15:73" x14ac:dyDescent="0.25"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</row>
    <row r="213" spans="15:73" x14ac:dyDescent="0.25"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</row>
    <row r="214" spans="15:73" x14ac:dyDescent="0.25"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</row>
    <row r="215" spans="15:73" x14ac:dyDescent="0.25"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</row>
    <row r="216" spans="15:73" x14ac:dyDescent="0.25"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</row>
    <row r="217" spans="15:73" x14ac:dyDescent="0.25"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</row>
    <row r="218" spans="15:73" x14ac:dyDescent="0.25"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</row>
    <row r="219" spans="15:73" x14ac:dyDescent="0.25"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</row>
    <row r="220" spans="15:73" x14ac:dyDescent="0.25"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</row>
    <row r="221" spans="15:73" x14ac:dyDescent="0.25"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</row>
    <row r="222" spans="15:73" x14ac:dyDescent="0.25"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</row>
    <row r="223" spans="15:73" x14ac:dyDescent="0.25"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</row>
    <row r="224" spans="15:73" x14ac:dyDescent="0.25"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</row>
    <row r="225" spans="15:73" x14ac:dyDescent="0.25"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</row>
    <row r="226" spans="15:73" x14ac:dyDescent="0.25"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</row>
    <row r="227" spans="15:73" x14ac:dyDescent="0.25"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</row>
    <row r="228" spans="15:73" x14ac:dyDescent="0.25"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</row>
    <row r="229" spans="15:73" x14ac:dyDescent="0.25"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</row>
    <row r="230" spans="15:73" x14ac:dyDescent="0.25"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</row>
    <row r="231" spans="15:73" x14ac:dyDescent="0.25"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</row>
    <row r="232" spans="15:73" x14ac:dyDescent="0.25"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</row>
    <row r="233" spans="15:73" x14ac:dyDescent="0.25"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</row>
    <row r="234" spans="15:73" x14ac:dyDescent="0.25"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</row>
    <row r="235" spans="15:73" x14ac:dyDescent="0.25"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</row>
    <row r="236" spans="15:73" x14ac:dyDescent="0.25"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</row>
    <row r="237" spans="15:73" x14ac:dyDescent="0.25"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</row>
    <row r="238" spans="15:73" x14ac:dyDescent="0.25"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</row>
    <row r="239" spans="15:73" x14ac:dyDescent="0.25"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</row>
    <row r="240" spans="15:73" x14ac:dyDescent="0.25"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</row>
    <row r="241" spans="15:73" x14ac:dyDescent="0.25"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</row>
    <row r="242" spans="15:73" x14ac:dyDescent="0.25"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</row>
    <row r="243" spans="15:73" x14ac:dyDescent="0.25"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</row>
    <row r="244" spans="15:73" x14ac:dyDescent="0.25"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</row>
    <row r="245" spans="15:73" x14ac:dyDescent="0.25"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</row>
    <row r="246" spans="15:73" x14ac:dyDescent="0.25"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</row>
    <row r="247" spans="15:73" x14ac:dyDescent="0.25"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</row>
    <row r="248" spans="15:73" x14ac:dyDescent="0.25"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</row>
    <row r="249" spans="15:73" x14ac:dyDescent="0.25"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</row>
    <row r="250" spans="15:73" x14ac:dyDescent="0.25"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</row>
    <row r="251" spans="15:73" x14ac:dyDescent="0.25"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</row>
    <row r="252" spans="15:73" x14ac:dyDescent="0.25"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</row>
    <row r="253" spans="15:73" x14ac:dyDescent="0.25"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</row>
    <row r="254" spans="15:73" x14ac:dyDescent="0.25"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</row>
    <row r="255" spans="15:73" x14ac:dyDescent="0.25"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</row>
    <row r="256" spans="15:73" x14ac:dyDescent="0.25"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</row>
    <row r="257" spans="15:73" x14ac:dyDescent="0.25"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</row>
    <row r="258" spans="15:73" x14ac:dyDescent="0.25"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</row>
    <row r="259" spans="15:73" x14ac:dyDescent="0.25"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</row>
    <row r="260" spans="15:73" x14ac:dyDescent="0.25"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</row>
    <row r="261" spans="15:73" x14ac:dyDescent="0.25"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</row>
    <row r="262" spans="15:73" x14ac:dyDescent="0.25"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</row>
    <row r="263" spans="15:73" x14ac:dyDescent="0.25"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</row>
    <row r="264" spans="15:73" x14ac:dyDescent="0.25"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</row>
    <row r="265" spans="15:73" x14ac:dyDescent="0.25"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</row>
    <row r="266" spans="15:73" x14ac:dyDescent="0.25"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</row>
    <row r="267" spans="15:73" x14ac:dyDescent="0.25"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</row>
    <row r="268" spans="15:73" x14ac:dyDescent="0.25"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</row>
    <row r="269" spans="15:73" x14ac:dyDescent="0.25"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</row>
    <row r="270" spans="15:73" x14ac:dyDescent="0.25"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</row>
    <row r="271" spans="15:73" x14ac:dyDescent="0.25"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</row>
    <row r="272" spans="15:73" x14ac:dyDescent="0.25"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</row>
    <row r="273" spans="15:73" x14ac:dyDescent="0.25"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</row>
    <row r="274" spans="15:73" x14ac:dyDescent="0.25"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</row>
    <row r="275" spans="15:73" x14ac:dyDescent="0.25"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</row>
    <row r="276" spans="15:73" x14ac:dyDescent="0.25"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</row>
    <row r="277" spans="15:73" x14ac:dyDescent="0.25"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</row>
    <row r="278" spans="15:73" x14ac:dyDescent="0.25"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</row>
    <row r="279" spans="15:73" x14ac:dyDescent="0.25"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</row>
    <row r="280" spans="15:73" x14ac:dyDescent="0.25"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</row>
    <row r="281" spans="15:73" x14ac:dyDescent="0.25"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</row>
    <row r="282" spans="15:73" x14ac:dyDescent="0.25"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</row>
    <row r="283" spans="15:73" x14ac:dyDescent="0.25"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</row>
    <row r="284" spans="15:73" x14ac:dyDescent="0.25"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</row>
    <row r="285" spans="15:73" x14ac:dyDescent="0.25"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</row>
    <row r="286" spans="15:73" x14ac:dyDescent="0.25"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</row>
    <row r="287" spans="15:73" x14ac:dyDescent="0.25"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</row>
    <row r="288" spans="15:73" x14ac:dyDescent="0.25"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</row>
    <row r="289" spans="15:73" x14ac:dyDescent="0.25"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</row>
    <row r="290" spans="15:73" x14ac:dyDescent="0.25"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</row>
    <row r="291" spans="15:73" x14ac:dyDescent="0.25"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</row>
    <row r="292" spans="15:73" x14ac:dyDescent="0.25"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</row>
    <row r="293" spans="15:73" x14ac:dyDescent="0.25"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</row>
    <row r="294" spans="15:73" x14ac:dyDescent="0.25"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</row>
    <row r="295" spans="15:73" x14ac:dyDescent="0.25"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</row>
    <row r="296" spans="15:73" x14ac:dyDescent="0.25"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</row>
    <row r="297" spans="15:73" x14ac:dyDescent="0.25"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</row>
    <row r="298" spans="15:73" x14ac:dyDescent="0.25"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</row>
    <row r="299" spans="15:73" x14ac:dyDescent="0.25"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</row>
    <row r="300" spans="15:73" x14ac:dyDescent="0.25"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</row>
    <row r="301" spans="15:73" x14ac:dyDescent="0.25"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</row>
    <row r="302" spans="15:73" x14ac:dyDescent="0.25"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</row>
    <row r="303" spans="15:73" x14ac:dyDescent="0.25"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</row>
    <row r="304" spans="15:73" x14ac:dyDescent="0.25"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</row>
    <row r="305" spans="15:73" x14ac:dyDescent="0.25"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</row>
    <row r="306" spans="15:73" x14ac:dyDescent="0.25"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</row>
    <row r="307" spans="15:73" x14ac:dyDescent="0.25"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</row>
    <row r="308" spans="15:73" x14ac:dyDescent="0.25"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</row>
    <row r="309" spans="15:73" x14ac:dyDescent="0.25"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</row>
    <row r="310" spans="15:73" x14ac:dyDescent="0.25"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</row>
    <row r="311" spans="15:73" x14ac:dyDescent="0.25"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</row>
    <row r="312" spans="15:73" x14ac:dyDescent="0.25"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</row>
    <row r="313" spans="15:73" x14ac:dyDescent="0.25"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</row>
    <row r="314" spans="15:73" x14ac:dyDescent="0.25"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</row>
    <row r="315" spans="15:73" x14ac:dyDescent="0.25"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</row>
    <row r="316" spans="15:73" x14ac:dyDescent="0.25"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</row>
    <row r="317" spans="15:73" x14ac:dyDescent="0.25"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</row>
    <row r="318" spans="15:73" x14ac:dyDescent="0.25"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</row>
    <row r="319" spans="15:73" x14ac:dyDescent="0.25"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</row>
    <row r="320" spans="15:73" x14ac:dyDescent="0.25"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</row>
    <row r="321" spans="15:73" x14ac:dyDescent="0.25"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</row>
    <row r="322" spans="15:73" x14ac:dyDescent="0.25"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</row>
    <row r="323" spans="15:73" x14ac:dyDescent="0.25"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</row>
    <row r="324" spans="15:73" x14ac:dyDescent="0.25"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</row>
    <row r="325" spans="15:73" x14ac:dyDescent="0.25"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</row>
    <row r="326" spans="15:73" x14ac:dyDescent="0.25"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</row>
    <row r="327" spans="15:73" x14ac:dyDescent="0.25"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</row>
    <row r="328" spans="15:73" x14ac:dyDescent="0.25"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</row>
    <row r="329" spans="15:73" x14ac:dyDescent="0.25"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</row>
    <row r="330" spans="15:73" x14ac:dyDescent="0.25"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</row>
    <row r="331" spans="15:73" x14ac:dyDescent="0.25"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</row>
    <row r="332" spans="15:73" x14ac:dyDescent="0.25"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</row>
    <row r="333" spans="15:73" x14ac:dyDescent="0.25"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</row>
    <row r="334" spans="15:73" x14ac:dyDescent="0.25"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</row>
    <row r="335" spans="15:73" x14ac:dyDescent="0.25"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</row>
    <row r="336" spans="15:73" x14ac:dyDescent="0.25"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</row>
    <row r="337" spans="15:73" x14ac:dyDescent="0.25"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</row>
    <row r="338" spans="15:73" x14ac:dyDescent="0.25"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</row>
    <row r="339" spans="15:73" x14ac:dyDescent="0.25"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</row>
    <row r="340" spans="15:73" x14ac:dyDescent="0.25"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</row>
    <row r="341" spans="15:73" x14ac:dyDescent="0.25"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</row>
    <row r="342" spans="15:73" x14ac:dyDescent="0.25"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</row>
    <row r="343" spans="15:73" x14ac:dyDescent="0.25"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</row>
    <row r="344" spans="15:73" x14ac:dyDescent="0.25"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</row>
    <row r="345" spans="15:73" x14ac:dyDescent="0.25"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</row>
    <row r="346" spans="15:73" x14ac:dyDescent="0.25"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</row>
    <row r="347" spans="15:73" x14ac:dyDescent="0.25"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</row>
    <row r="348" spans="15:73" x14ac:dyDescent="0.25"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</row>
    <row r="349" spans="15:73" x14ac:dyDescent="0.25"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</row>
    <row r="350" spans="15:73" x14ac:dyDescent="0.25"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</row>
    <row r="351" spans="15:73" x14ac:dyDescent="0.25"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</row>
    <row r="352" spans="15:73" x14ac:dyDescent="0.25"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</row>
    <row r="353" spans="15:73" x14ac:dyDescent="0.25"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</row>
    <row r="354" spans="15:73" x14ac:dyDescent="0.25"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</row>
    <row r="355" spans="15:73" x14ac:dyDescent="0.25"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</row>
    <row r="356" spans="15:73" x14ac:dyDescent="0.25"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</row>
    <row r="357" spans="15:73" x14ac:dyDescent="0.25"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</row>
    <row r="358" spans="15:73" x14ac:dyDescent="0.25"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</row>
    <row r="359" spans="15:73" x14ac:dyDescent="0.25"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</row>
    <row r="360" spans="15:73" x14ac:dyDescent="0.25"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</row>
    <row r="361" spans="15:73" x14ac:dyDescent="0.25"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</row>
    <row r="362" spans="15:73" x14ac:dyDescent="0.25"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</row>
    <row r="363" spans="15:73" x14ac:dyDescent="0.25"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</row>
    <row r="364" spans="15:73" x14ac:dyDescent="0.25"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</row>
    <row r="365" spans="15:73" x14ac:dyDescent="0.25"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</row>
    <row r="366" spans="15:73" x14ac:dyDescent="0.25"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</row>
    <row r="367" spans="15:73" x14ac:dyDescent="0.25"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</row>
    <row r="368" spans="15:73" x14ac:dyDescent="0.25"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</row>
    <row r="369" spans="15:73" x14ac:dyDescent="0.25"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</row>
    <row r="370" spans="15:73" x14ac:dyDescent="0.25"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</row>
    <row r="371" spans="15:73" x14ac:dyDescent="0.25"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</row>
    <row r="372" spans="15:73" x14ac:dyDescent="0.25"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</row>
    <row r="373" spans="15:73" x14ac:dyDescent="0.25"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</row>
    <row r="374" spans="15:73" x14ac:dyDescent="0.25"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</row>
    <row r="375" spans="15:73" x14ac:dyDescent="0.25"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</row>
    <row r="376" spans="15:73" x14ac:dyDescent="0.25"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</row>
    <row r="377" spans="15:73" x14ac:dyDescent="0.25"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</row>
    <row r="378" spans="15:73" x14ac:dyDescent="0.25"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</row>
    <row r="379" spans="15:73" x14ac:dyDescent="0.25"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</row>
    <row r="380" spans="15:73" x14ac:dyDescent="0.25"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</row>
    <row r="381" spans="15:73" x14ac:dyDescent="0.25"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</row>
    <row r="382" spans="15:73" x14ac:dyDescent="0.25"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</row>
    <row r="383" spans="15:73" x14ac:dyDescent="0.25"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</row>
    <row r="384" spans="15:73" x14ac:dyDescent="0.25"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</row>
    <row r="385" spans="15:73" x14ac:dyDescent="0.25"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</row>
    <row r="386" spans="15:73" x14ac:dyDescent="0.25"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</row>
    <row r="387" spans="15:73" x14ac:dyDescent="0.25"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</row>
    <row r="388" spans="15:73" x14ac:dyDescent="0.25"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</row>
    <row r="389" spans="15:73" x14ac:dyDescent="0.25"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</row>
    <row r="390" spans="15:73" x14ac:dyDescent="0.25"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</row>
    <row r="391" spans="15:73" x14ac:dyDescent="0.25"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</row>
    <row r="392" spans="15:73" x14ac:dyDescent="0.25"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</row>
    <row r="393" spans="15:73" x14ac:dyDescent="0.25"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</row>
    <row r="394" spans="15:73" x14ac:dyDescent="0.25"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</row>
    <row r="395" spans="15:73" x14ac:dyDescent="0.25"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</row>
    <row r="396" spans="15:73" x14ac:dyDescent="0.25"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</row>
    <row r="397" spans="15:73" x14ac:dyDescent="0.25"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</row>
    <row r="398" spans="15:73" x14ac:dyDescent="0.25"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</row>
    <row r="399" spans="15:73" x14ac:dyDescent="0.25"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</row>
    <row r="400" spans="15:73" x14ac:dyDescent="0.25"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</row>
    <row r="401" spans="15:73" x14ac:dyDescent="0.25"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</row>
    <row r="402" spans="15:73" x14ac:dyDescent="0.25"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</row>
    <row r="403" spans="15:73" x14ac:dyDescent="0.25"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</row>
    <row r="404" spans="15:73" x14ac:dyDescent="0.25"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</row>
    <row r="405" spans="15:73" x14ac:dyDescent="0.25"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</row>
    <row r="406" spans="15:73" x14ac:dyDescent="0.25"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</row>
    <row r="407" spans="15:73" x14ac:dyDescent="0.25"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</row>
    <row r="408" spans="15:73" x14ac:dyDescent="0.25"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</row>
    <row r="409" spans="15:73" x14ac:dyDescent="0.25"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</row>
    <row r="410" spans="15:73" x14ac:dyDescent="0.25"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</row>
    <row r="411" spans="15:73" x14ac:dyDescent="0.25"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</row>
    <row r="412" spans="15:73" x14ac:dyDescent="0.25"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</row>
    <row r="413" spans="15:73" x14ac:dyDescent="0.25"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</row>
    <row r="414" spans="15:73" x14ac:dyDescent="0.25"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</row>
    <row r="415" spans="15:73" x14ac:dyDescent="0.25"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</row>
    <row r="416" spans="15:73" x14ac:dyDescent="0.25"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</row>
    <row r="417" spans="15:73" x14ac:dyDescent="0.25"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</row>
    <row r="418" spans="15:73" x14ac:dyDescent="0.25"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</row>
    <row r="419" spans="15:73" x14ac:dyDescent="0.25"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</row>
    <row r="420" spans="15:73" x14ac:dyDescent="0.25"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</row>
    <row r="421" spans="15:73" x14ac:dyDescent="0.25"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</row>
    <row r="422" spans="15:73" x14ac:dyDescent="0.25"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</row>
    <row r="423" spans="15:73" x14ac:dyDescent="0.25"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</row>
    <row r="424" spans="15:73" x14ac:dyDescent="0.25"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</row>
    <row r="425" spans="15:73" x14ac:dyDescent="0.25"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</row>
    <row r="426" spans="15:73" x14ac:dyDescent="0.25"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</row>
    <row r="427" spans="15:73" x14ac:dyDescent="0.25"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</row>
    <row r="428" spans="15:73" x14ac:dyDescent="0.25"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</row>
    <row r="429" spans="15:73" x14ac:dyDescent="0.25"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</row>
    <row r="430" spans="15:73" x14ac:dyDescent="0.25"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</row>
    <row r="431" spans="15:73" x14ac:dyDescent="0.25"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</row>
    <row r="432" spans="15:73" x14ac:dyDescent="0.25"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</row>
    <row r="433" spans="15:73" x14ac:dyDescent="0.25"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</row>
    <row r="434" spans="15:73" x14ac:dyDescent="0.25"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</row>
    <row r="435" spans="15:73" x14ac:dyDescent="0.25"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</row>
    <row r="436" spans="15:73" x14ac:dyDescent="0.25"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</row>
    <row r="437" spans="15:73" x14ac:dyDescent="0.25"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</row>
    <row r="438" spans="15:73" x14ac:dyDescent="0.25"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</row>
    <row r="439" spans="15:73" x14ac:dyDescent="0.25"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</row>
    <row r="440" spans="15:73" x14ac:dyDescent="0.25"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</row>
    <row r="441" spans="15:73" x14ac:dyDescent="0.25"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</row>
    <row r="442" spans="15:73" x14ac:dyDescent="0.25"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</row>
    <row r="443" spans="15:73" x14ac:dyDescent="0.25"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</row>
    <row r="444" spans="15:73" x14ac:dyDescent="0.25"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</row>
    <row r="445" spans="15:73" x14ac:dyDescent="0.25"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</row>
    <row r="446" spans="15:73" x14ac:dyDescent="0.25"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</row>
    <row r="447" spans="15:73" x14ac:dyDescent="0.25"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</row>
    <row r="448" spans="15:73" x14ac:dyDescent="0.25"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</row>
    <row r="449" spans="15:73" x14ac:dyDescent="0.25"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</row>
    <row r="450" spans="15:73" x14ac:dyDescent="0.25"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</row>
    <row r="451" spans="15:73" x14ac:dyDescent="0.25"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</row>
    <row r="452" spans="15:73" x14ac:dyDescent="0.25"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</row>
    <row r="453" spans="15:73" x14ac:dyDescent="0.25"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</row>
    <row r="454" spans="15:73" x14ac:dyDescent="0.25"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</row>
    <row r="455" spans="15:73" x14ac:dyDescent="0.25"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</row>
    <row r="456" spans="15:73" x14ac:dyDescent="0.25"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</row>
    <row r="457" spans="15:73" x14ac:dyDescent="0.25"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</row>
    <row r="458" spans="15:73" x14ac:dyDescent="0.25"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</row>
    <row r="459" spans="15:73" x14ac:dyDescent="0.25"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</row>
    <row r="460" spans="15:73" x14ac:dyDescent="0.25"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</row>
    <row r="461" spans="15:73" x14ac:dyDescent="0.25"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</row>
    <row r="462" spans="15:73" x14ac:dyDescent="0.25"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</row>
    <row r="463" spans="15:73" x14ac:dyDescent="0.25"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</row>
    <row r="464" spans="15:73" x14ac:dyDescent="0.25"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</row>
    <row r="465" spans="15:73" x14ac:dyDescent="0.25"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</row>
    <row r="466" spans="15:73" x14ac:dyDescent="0.25"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</row>
    <row r="467" spans="15:73" x14ac:dyDescent="0.25"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</row>
    <row r="468" spans="15:73" x14ac:dyDescent="0.25"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</row>
    <row r="469" spans="15:73" x14ac:dyDescent="0.25"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</row>
    <row r="470" spans="15:73" x14ac:dyDescent="0.25"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</row>
    <row r="471" spans="15:73" x14ac:dyDescent="0.25"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</row>
    <row r="472" spans="15:73" x14ac:dyDescent="0.25"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</row>
    <row r="473" spans="15:73" x14ac:dyDescent="0.25"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</row>
    <row r="474" spans="15:73" x14ac:dyDescent="0.25"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</row>
    <row r="475" spans="15:73" x14ac:dyDescent="0.25"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</row>
    <row r="476" spans="15:73" x14ac:dyDescent="0.25"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</row>
    <row r="477" spans="15:73" x14ac:dyDescent="0.25"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</row>
    <row r="478" spans="15:73" x14ac:dyDescent="0.25"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</row>
    <row r="479" spans="15:73" x14ac:dyDescent="0.25"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</row>
    <row r="480" spans="15:73" x14ac:dyDescent="0.25"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</row>
    <row r="481" spans="15:73" x14ac:dyDescent="0.25"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</row>
    <row r="482" spans="15:73" x14ac:dyDescent="0.25"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</row>
    <row r="483" spans="15:73" x14ac:dyDescent="0.25"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</row>
    <row r="484" spans="15:73" x14ac:dyDescent="0.25"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</row>
    <row r="485" spans="15:73" x14ac:dyDescent="0.25"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</row>
    <row r="486" spans="15:73" x14ac:dyDescent="0.25"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</row>
    <row r="487" spans="15:73" x14ac:dyDescent="0.25"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</row>
    <row r="488" spans="15:73" x14ac:dyDescent="0.25"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</row>
    <row r="489" spans="15:73" x14ac:dyDescent="0.25"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</row>
    <row r="490" spans="15:73" x14ac:dyDescent="0.25"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</row>
    <row r="491" spans="15:73" x14ac:dyDescent="0.25"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</row>
    <row r="492" spans="15:73" x14ac:dyDescent="0.25"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</row>
    <row r="493" spans="15:73" x14ac:dyDescent="0.25"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</row>
    <row r="494" spans="15:73" x14ac:dyDescent="0.25"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</row>
    <row r="495" spans="15:73" x14ac:dyDescent="0.25"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</row>
    <row r="496" spans="15:73" x14ac:dyDescent="0.25"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</row>
    <row r="497" spans="15:73" x14ac:dyDescent="0.25"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</row>
    <row r="498" spans="15:73" x14ac:dyDescent="0.25"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</row>
    <row r="499" spans="15:73" x14ac:dyDescent="0.25"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</row>
    <row r="500" spans="15:73" x14ac:dyDescent="0.25"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</row>
    <row r="501" spans="15:73" x14ac:dyDescent="0.25"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</row>
    <row r="502" spans="15:73" x14ac:dyDescent="0.25"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</row>
    <row r="503" spans="15:73" x14ac:dyDescent="0.25"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</row>
    <row r="504" spans="15:73" x14ac:dyDescent="0.25"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</row>
    <row r="505" spans="15:73" x14ac:dyDescent="0.25"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</row>
    <row r="506" spans="15:73" x14ac:dyDescent="0.25"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</row>
    <row r="507" spans="15:73" x14ac:dyDescent="0.25"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</row>
    <row r="508" spans="15:73" x14ac:dyDescent="0.25"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</row>
    <row r="509" spans="15:73" x14ac:dyDescent="0.25"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</row>
    <row r="510" spans="15:73" x14ac:dyDescent="0.25"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</row>
    <row r="511" spans="15:73" x14ac:dyDescent="0.25"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</row>
    <row r="512" spans="15:73" x14ac:dyDescent="0.25"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</row>
    <row r="513" spans="15:73" x14ac:dyDescent="0.25"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</row>
    <row r="514" spans="15:73" x14ac:dyDescent="0.25"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</row>
    <row r="515" spans="15:73" x14ac:dyDescent="0.25"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</row>
    <row r="516" spans="15:73" x14ac:dyDescent="0.25"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</row>
    <row r="517" spans="15:73" x14ac:dyDescent="0.25"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</row>
    <row r="518" spans="15:73" x14ac:dyDescent="0.25"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</row>
    <row r="519" spans="15:73" x14ac:dyDescent="0.25"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</row>
    <row r="520" spans="15:73" x14ac:dyDescent="0.25"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</row>
    <row r="521" spans="15:73" x14ac:dyDescent="0.25"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</row>
    <row r="522" spans="15:73" x14ac:dyDescent="0.25"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</row>
    <row r="523" spans="15:73" x14ac:dyDescent="0.25"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</row>
    <row r="524" spans="15:73" x14ac:dyDescent="0.25"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</row>
    <row r="525" spans="15:73" x14ac:dyDescent="0.25"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</row>
    <row r="526" spans="15:73" x14ac:dyDescent="0.25"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</row>
    <row r="527" spans="15:73" x14ac:dyDescent="0.25"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</row>
    <row r="528" spans="15:73" x14ac:dyDescent="0.25"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</row>
    <row r="529" spans="15:73" x14ac:dyDescent="0.25"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</row>
    <row r="530" spans="15:73" x14ac:dyDescent="0.25"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</row>
    <row r="531" spans="15:73" x14ac:dyDescent="0.25"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</row>
    <row r="532" spans="15:73" x14ac:dyDescent="0.25"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</row>
    <row r="533" spans="15:73" x14ac:dyDescent="0.25"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</row>
    <row r="534" spans="15:73" x14ac:dyDescent="0.25"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</row>
    <row r="535" spans="15:73" x14ac:dyDescent="0.25"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</row>
    <row r="536" spans="15:73" x14ac:dyDescent="0.25"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</row>
    <row r="537" spans="15:73" x14ac:dyDescent="0.25"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</row>
    <row r="538" spans="15:73" x14ac:dyDescent="0.25"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</row>
    <row r="539" spans="15:73" x14ac:dyDescent="0.25"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</row>
    <row r="540" spans="15:73" x14ac:dyDescent="0.25"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</row>
    <row r="541" spans="15:73" x14ac:dyDescent="0.25"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</row>
    <row r="542" spans="15:73" x14ac:dyDescent="0.25"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</row>
  </sheetData>
  <dataConsolidate link="1"/>
  <phoneticPr fontId="6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O42"/>
  <sheetViews>
    <sheetView showGridLines="0" zoomScaleNormal="100" workbookViewId="0">
      <selection activeCell="N8" sqref="N8:Y13"/>
    </sheetView>
  </sheetViews>
  <sheetFormatPr defaultRowHeight="13.2" x14ac:dyDescent="0.25"/>
  <cols>
    <col min="1" max="1" width="14.77734375" customWidth="1"/>
    <col min="2" max="2" width="11.77734375" customWidth="1"/>
    <col min="3" max="3" width="10.77734375" customWidth="1"/>
    <col min="4" max="4" width="7.77734375" customWidth="1"/>
    <col min="5" max="5" width="10.77734375" customWidth="1"/>
    <col min="6" max="6" width="1.77734375" customWidth="1"/>
    <col min="7" max="10" width="10.77734375" customWidth="1"/>
    <col min="11" max="11" width="7.77734375" customWidth="1"/>
    <col min="14" max="14" width="13.77734375" bestFit="1" customWidth="1"/>
    <col min="15" max="15" width="9.44140625" bestFit="1" customWidth="1"/>
  </cols>
  <sheetData>
    <row r="1" spans="1:12" ht="13.8" x14ac:dyDescent="0.25">
      <c r="A1" s="23" t="s">
        <v>140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3.8" x14ac:dyDescent="0.25">
      <c r="A2" s="24"/>
      <c r="B2" s="171" t="s">
        <v>0</v>
      </c>
      <c r="C2" s="171"/>
      <c r="D2" s="171"/>
      <c r="E2" s="171"/>
      <c r="F2" s="27"/>
      <c r="G2" s="171" t="s">
        <v>17</v>
      </c>
      <c r="H2" s="171"/>
      <c r="I2" s="171"/>
      <c r="J2" s="24"/>
    </row>
    <row r="3" spans="1:12" ht="13.8" x14ac:dyDescent="0.25">
      <c r="A3" s="24" t="s">
        <v>64</v>
      </c>
      <c r="B3" s="26" t="s">
        <v>8</v>
      </c>
      <c r="C3" s="28"/>
      <c r="D3" s="28"/>
      <c r="E3" s="28"/>
      <c r="F3" s="28"/>
      <c r="G3" s="28"/>
      <c r="H3" s="28"/>
      <c r="I3" s="28"/>
      <c r="J3" s="26" t="s">
        <v>26</v>
      </c>
    </row>
    <row r="4" spans="1:12" ht="13.8" x14ac:dyDescent="0.25">
      <c r="A4" s="29" t="s">
        <v>65</v>
      </c>
      <c r="B4" s="31" t="s">
        <v>25</v>
      </c>
      <c r="C4" s="31" t="s">
        <v>1</v>
      </c>
      <c r="D4" s="31" t="s">
        <v>2</v>
      </c>
      <c r="E4" s="33" t="s">
        <v>24</v>
      </c>
      <c r="F4" s="32"/>
      <c r="G4" s="31" t="s">
        <v>27</v>
      </c>
      <c r="H4" s="31" t="s">
        <v>23</v>
      </c>
      <c r="I4" s="31" t="s">
        <v>24</v>
      </c>
      <c r="J4" s="31" t="s">
        <v>74</v>
      </c>
    </row>
    <row r="5" spans="1:12" ht="14.4" x14ac:dyDescent="0.3">
      <c r="A5" s="24"/>
      <c r="B5" s="172" t="s">
        <v>81</v>
      </c>
      <c r="C5" s="172"/>
      <c r="D5" s="172"/>
      <c r="E5" s="172"/>
      <c r="F5" s="172"/>
      <c r="G5" s="172"/>
      <c r="H5" s="172"/>
      <c r="I5" s="172"/>
      <c r="J5" s="172"/>
    </row>
    <row r="6" spans="1:12" ht="13.8" x14ac:dyDescent="0.25">
      <c r="A6" s="24" t="s">
        <v>120</v>
      </c>
      <c r="B6" s="55">
        <v>402.01499999999999</v>
      </c>
      <c r="C6" s="56">
        <v>51100.43</v>
      </c>
      <c r="D6" s="56">
        <v>639.279164260926</v>
      </c>
      <c r="E6" s="38">
        <v>52141.724164260922</v>
      </c>
      <c r="F6" s="56"/>
      <c r="G6" s="56">
        <v>37723.484000376411</v>
      </c>
      <c r="H6" s="56">
        <v>14076.904163884506</v>
      </c>
      <c r="I6" s="56">
        <v>51800.388164260919</v>
      </c>
      <c r="J6" s="56">
        <v>341.33600000000001</v>
      </c>
    </row>
    <row r="7" spans="1:12" ht="16.2" x14ac:dyDescent="0.25">
      <c r="A7" s="24" t="s">
        <v>123</v>
      </c>
      <c r="B7" s="55">
        <f>J6</f>
        <v>341.33600000000001</v>
      </c>
      <c r="C7" s="56">
        <v>51558.663999999997</v>
      </c>
      <c r="D7" s="56">
        <v>700</v>
      </c>
      <c r="E7" s="38">
        <f>SUM(B7:D7)</f>
        <v>52600</v>
      </c>
      <c r="F7" s="56"/>
      <c r="G7" s="56">
        <f>I7-H7</f>
        <v>37950</v>
      </c>
      <c r="H7" s="56">
        <v>14250</v>
      </c>
      <c r="I7" s="56">
        <f>E7-J7</f>
        <v>52200</v>
      </c>
      <c r="J7" s="56">
        <v>400</v>
      </c>
    </row>
    <row r="8" spans="1:12" ht="16.2" x14ac:dyDescent="0.25">
      <c r="A8" s="24" t="s">
        <v>155</v>
      </c>
      <c r="B8" s="55">
        <f>J7</f>
        <v>400</v>
      </c>
      <c r="C8" s="56">
        <v>52500</v>
      </c>
      <c r="D8" s="56">
        <v>450</v>
      </c>
      <c r="E8" s="38">
        <f>SUM(B8:D8)</f>
        <v>53350</v>
      </c>
      <c r="F8" s="56"/>
      <c r="G8" s="56">
        <f>I8-H8</f>
        <v>38600</v>
      </c>
      <c r="H8" s="56">
        <v>14300</v>
      </c>
      <c r="I8" s="56">
        <f>E8-J8</f>
        <v>52900</v>
      </c>
      <c r="J8" s="56">
        <v>450</v>
      </c>
    </row>
    <row r="9" spans="1:12" ht="13.8" x14ac:dyDescent="0.25">
      <c r="A9" s="24"/>
      <c r="B9" s="57"/>
      <c r="C9" s="57"/>
      <c r="D9" s="57"/>
      <c r="E9" s="57"/>
      <c r="F9" s="57"/>
      <c r="G9" s="56"/>
      <c r="H9" s="57"/>
      <c r="I9" s="57"/>
      <c r="J9" s="57"/>
    </row>
    <row r="10" spans="1:12" ht="15.6" x14ac:dyDescent="0.3">
      <c r="A10" s="140" t="s">
        <v>120</v>
      </c>
      <c r="B10" s="59"/>
      <c r="C10" s="45"/>
      <c r="D10" s="45"/>
      <c r="E10" s="45"/>
      <c r="F10" s="45"/>
      <c r="G10" s="45"/>
      <c r="H10" s="45"/>
      <c r="I10" s="45"/>
      <c r="J10" s="45"/>
      <c r="K10" s="16"/>
      <c r="L10" s="16"/>
    </row>
    <row r="11" spans="1:12" ht="15.6" x14ac:dyDescent="0.3">
      <c r="A11" s="27" t="s">
        <v>45</v>
      </c>
      <c r="B11" s="59">
        <f>360.387+41.628</f>
        <v>402.01499999999999</v>
      </c>
      <c r="C11" s="164">
        <v>4381.8320000000003</v>
      </c>
      <c r="D11" s="164">
        <v>47.701419628939988</v>
      </c>
      <c r="E11" s="45">
        <f>SUM(B11:D11)</f>
        <v>4831.5484196289408</v>
      </c>
      <c r="F11" s="58"/>
      <c r="G11" s="60">
        <f t="shared" ref="G11:G22" si="0">I11-H11</f>
        <v>3326.8321822781154</v>
      </c>
      <c r="H11" s="166">
        <v>1139.3572373508248</v>
      </c>
      <c r="I11" s="58">
        <f t="shared" ref="I11:I22" si="1">E11-J11</f>
        <v>4466.1894196289404</v>
      </c>
      <c r="J11" s="166">
        <v>365.35899999999998</v>
      </c>
      <c r="K11" s="16"/>
      <c r="L11" s="16"/>
    </row>
    <row r="12" spans="1:12" ht="15.6" x14ac:dyDescent="0.3">
      <c r="A12" s="27" t="s">
        <v>46</v>
      </c>
      <c r="B12" s="59">
        <f t="shared" ref="B12:B22" si="2">J11</f>
        <v>365.35899999999998</v>
      </c>
      <c r="C12" s="164">
        <v>4111.7719999999999</v>
      </c>
      <c r="D12" s="164">
        <v>36.381454093156989</v>
      </c>
      <c r="E12" s="45">
        <f t="shared" ref="E12:E18" si="3">SUM(B12:D12)</f>
        <v>4513.5124540931574</v>
      </c>
      <c r="F12" s="45"/>
      <c r="G12" s="60">
        <f t="shared" si="0"/>
        <v>2799.0920374435673</v>
      </c>
      <c r="H12" s="166">
        <v>1247.0074166495904</v>
      </c>
      <c r="I12" s="58">
        <f t="shared" si="1"/>
        <v>4046.0994540931574</v>
      </c>
      <c r="J12" s="166">
        <v>467.41300000000001</v>
      </c>
      <c r="K12" s="16"/>
      <c r="L12" s="16"/>
    </row>
    <row r="13" spans="1:12" ht="15.6" x14ac:dyDescent="0.3">
      <c r="A13" s="27" t="s">
        <v>47</v>
      </c>
      <c r="B13" s="59">
        <f t="shared" si="2"/>
        <v>467.41300000000001</v>
      </c>
      <c r="C13" s="164">
        <v>4337.5720000000001</v>
      </c>
      <c r="D13" s="164">
        <v>52.414461865975987</v>
      </c>
      <c r="E13" s="45">
        <f t="shared" si="3"/>
        <v>4857.3994618659763</v>
      </c>
      <c r="F13" s="45"/>
      <c r="G13" s="60">
        <f t="shared" si="0"/>
        <v>3384.5439292126653</v>
      </c>
      <c r="H13" s="166">
        <v>1095.7835326533109</v>
      </c>
      <c r="I13" s="58">
        <f t="shared" si="1"/>
        <v>4480.3274618659761</v>
      </c>
      <c r="J13" s="166">
        <v>377.072</v>
      </c>
      <c r="K13" s="16"/>
      <c r="L13" s="16"/>
    </row>
    <row r="14" spans="1:12" ht="15.6" x14ac:dyDescent="0.3">
      <c r="A14" s="27" t="s">
        <v>48</v>
      </c>
      <c r="B14" s="59">
        <f t="shared" si="2"/>
        <v>377.072</v>
      </c>
      <c r="C14" s="164">
        <v>4425.7489999999998</v>
      </c>
      <c r="D14" s="164">
        <v>61.000805584089981</v>
      </c>
      <c r="E14" s="45">
        <f t="shared" si="3"/>
        <v>4863.8218055840898</v>
      </c>
      <c r="F14" s="45"/>
      <c r="G14" s="60">
        <f t="shared" si="0"/>
        <v>3435.4336328529498</v>
      </c>
      <c r="H14" s="166">
        <v>1083.4551727311398</v>
      </c>
      <c r="I14" s="58">
        <f t="shared" si="1"/>
        <v>4518.8888055840898</v>
      </c>
      <c r="J14" s="166">
        <v>344.93299999999999</v>
      </c>
      <c r="K14" s="16"/>
      <c r="L14" s="16"/>
    </row>
    <row r="15" spans="1:12" ht="15.6" x14ac:dyDescent="0.3">
      <c r="A15" s="27" t="s">
        <v>49</v>
      </c>
      <c r="B15" s="59">
        <f t="shared" si="2"/>
        <v>344.93299999999999</v>
      </c>
      <c r="C15" s="164">
        <v>4122.6279999999997</v>
      </c>
      <c r="D15" s="164">
        <v>50.311803042150984</v>
      </c>
      <c r="E15" s="45">
        <f t="shared" si="3"/>
        <v>4517.8728030421507</v>
      </c>
      <c r="F15" s="45"/>
      <c r="G15" s="60">
        <f t="shared" si="0"/>
        <v>2687.3693993875972</v>
      </c>
      <c r="H15" s="166">
        <v>1388.1554036545535</v>
      </c>
      <c r="I15" s="58">
        <f t="shared" si="1"/>
        <v>4075.5248030421508</v>
      </c>
      <c r="J15" s="166">
        <v>442.34800000000001</v>
      </c>
      <c r="K15" s="16"/>
      <c r="L15" s="16"/>
    </row>
    <row r="16" spans="1:12" ht="15.6" x14ac:dyDescent="0.3">
      <c r="A16" s="27" t="s">
        <v>50</v>
      </c>
      <c r="B16" s="59">
        <f t="shared" si="2"/>
        <v>442.34800000000001</v>
      </c>
      <c r="C16" s="164">
        <v>4517.9129999999996</v>
      </c>
      <c r="D16" s="164">
        <v>63.660793006250984</v>
      </c>
      <c r="E16" s="45">
        <f t="shared" si="3"/>
        <v>5023.9217930062505</v>
      </c>
      <c r="F16" s="45"/>
      <c r="G16" s="60">
        <f t="shared" si="0"/>
        <v>3277.7263949888838</v>
      </c>
      <c r="H16" s="166">
        <v>1331.1463980173667</v>
      </c>
      <c r="I16" s="58">
        <f t="shared" si="1"/>
        <v>4608.8727930062505</v>
      </c>
      <c r="J16" s="166">
        <v>415.04899999999998</v>
      </c>
      <c r="K16" s="16"/>
      <c r="L16" s="16"/>
    </row>
    <row r="17" spans="1:15" ht="15.6" x14ac:dyDescent="0.3">
      <c r="A17" s="27" t="s">
        <v>51</v>
      </c>
      <c r="B17" s="59">
        <f t="shared" si="2"/>
        <v>415.04899999999998</v>
      </c>
      <c r="C17" s="164">
        <v>4312.1769999999997</v>
      </c>
      <c r="D17" s="164">
        <v>53.265225735033987</v>
      </c>
      <c r="E17" s="45">
        <f t="shared" si="3"/>
        <v>4780.4912257350334</v>
      </c>
      <c r="F17" s="45"/>
      <c r="G17" s="60">
        <f t="shared" si="0"/>
        <v>3177.7165854018003</v>
      </c>
      <c r="H17" s="166">
        <v>1216.5816403332326</v>
      </c>
      <c r="I17" s="58">
        <f t="shared" si="1"/>
        <v>4394.2982257350332</v>
      </c>
      <c r="J17" s="166">
        <v>386.19299999999998</v>
      </c>
      <c r="K17" s="16"/>
      <c r="L17" s="16"/>
    </row>
    <row r="18" spans="1:15" ht="15.6" x14ac:dyDescent="0.3">
      <c r="A18" s="27" t="s">
        <v>52</v>
      </c>
      <c r="B18" s="59">
        <f t="shared" si="2"/>
        <v>386.19299999999998</v>
      </c>
      <c r="C18" s="164">
        <v>4240.9799999999996</v>
      </c>
      <c r="D18" s="164">
        <v>45.247895115141979</v>
      </c>
      <c r="E18" s="45">
        <f t="shared" si="3"/>
        <v>4672.4208951151413</v>
      </c>
      <c r="F18" s="45"/>
      <c r="G18" s="60">
        <f t="shared" si="0"/>
        <v>3079.82201561686</v>
      </c>
      <c r="H18" s="166">
        <v>1094.7518794982818</v>
      </c>
      <c r="I18" s="58">
        <f t="shared" si="1"/>
        <v>4174.5738951151416</v>
      </c>
      <c r="J18" s="166">
        <v>497.84699999999998</v>
      </c>
      <c r="K18" s="16"/>
      <c r="L18" s="16"/>
    </row>
    <row r="19" spans="1:15" ht="15.6" x14ac:dyDescent="0.3">
      <c r="A19" s="27" t="s">
        <v>53</v>
      </c>
      <c r="B19" s="59">
        <f t="shared" si="2"/>
        <v>497.84699999999998</v>
      </c>
      <c r="C19" s="164">
        <v>4167.4759999999997</v>
      </c>
      <c r="D19" s="164">
        <v>40.005963911567989</v>
      </c>
      <c r="E19" s="45">
        <f>SUM(B19:D19)</f>
        <v>4705.3289639115674</v>
      </c>
      <c r="F19" s="45"/>
      <c r="G19" s="60">
        <f t="shared" si="0"/>
        <v>3062.0748832071195</v>
      </c>
      <c r="H19" s="166">
        <v>1180.9510807044478</v>
      </c>
      <c r="I19" s="58">
        <f t="shared" si="1"/>
        <v>4243.0259639115675</v>
      </c>
      <c r="J19" s="166">
        <v>462.303</v>
      </c>
      <c r="K19" s="16"/>
      <c r="L19" s="16"/>
    </row>
    <row r="20" spans="1:15" ht="15.6" x14ac:dyDescent="0.3">
      <c r="A20" s="27" t="s">
        <v>55</v>
      </c>
      <c r="B20" s="59">
        <f t="shared" si="2"/>
        <v>462.303</v>
      </c>
      <c r="C20" s="164">
        <v>4361.17</v>
      </c>
      <c r="D20" s="164">
        <v>57.68317923438299</v>
      </c>
      <c r="E20" s="45">
        <f>SUM(B20:D20)</f>
        <v>4881.1561792343828</v>
      </c>
      <c r="F20" s="45"/>
      <c r="G20" s="60">
        <f t="shared" si="0"/>
        <v>3284.6328865333062</v>
      </c>
      <c r="H20" s="166">
        <v>1146.0032927010768</v>
      </c>
      <c r="I20" s="58">
        <f t="shared" si="1"/>
        <v>4430.6361792343832</v>
      </c>
      <c r="J20" s="166">
        <v>450.52</v>
      </c>
      <c r="K20" s="16"/>
      <c r="L20" s="16"/>
    </row>
    <row r="21" spans="1:15" ht="15.6" x14ac:dyDescent="0.3">
      <c r="A21" s="27" t="s">
        <v>56</v>
      </c>
      <c r="B21" s="59">
        <f t="shared" si="2"/>
        <v>450.52</v>
      </c>
      <c r="C21" s="164">
        <v>4111.7449999999999</v>
      </c>
      <c r="D21" s="164">
        <v>60.504765494589982</v>
      </c>
      <c r="E21" s="45">
        <f>SUM(B21:D21)</f>
        <v>4622.7697654945896</v>
      </c>
      <c r="F21" s="45"/>
      <c r="G21" s="60">
        <f t="shared" si="0"/>
        <v>3106.2327130454751</v>
      </c>
      <c r="H21" s="166">
        <v>1095.4400524491145</v>
      </c>
      <c r="I21" s="58">
        <f t="shared" si="1"/>
        <v>4201.6727654945898</v>
      </c>
      <c r="J21" s="166">
        <v>421.09699999999998</v>
      </c>
      <c r="K21" s="16"/>
      <c r="L21" s="16"/>
    </row>
    <row r="22" spans="1:15" ht="15.6" x14ac:dyDescent="0.3">
      <c r="A22" s="27" t="s">
        <v>58</v>
      </c>
      <c r="B22" s="59">
        <f t="shared" si="2"/>
        <v>421.09699999999998</v>
      </c>
      <c r="C22" s="164">
        <v>4009.4160000000002</v>
      </c>
      <c r="D22" s="164">
        <v>71.101394348750986</v>
      </c>
      <c r="E22" s="45">
        <f>SUM(B22:D22)</f>
        <v>4501.6143943487505</v>
      </c>
      <c r="F22" s="45"/>
      <c r="G22" s="60">
        <f t="shared" si="0"/>
        <v>3102.0035393342023</v>
      </c>
      <c r="H22" s="166">
        <v>1058.2748550145477</v>
      </c>
      <c r="I22" s="58">
        <f t="shared" si="1"/>
        <v>4160.2783943487502</v>
      </c>
      <c r="J22" s="166">
        <v>341.33600000000001</v>
      </c>
      <c r="K22" s="16"/>
      <c r="L22" s="16"/>
    </row>
    <row r="23" spans="1:15" ht="15.6" x14ac:dyDescent="0.3">
      <c r="A23" s="27" t="s">
        <v>3</v>
      </c>
      <c r="B23" s="59"/>
      <c r="C23" s="45">
        <f>SUM(C11:C22)</f>
        <v>51100.43</v>
      </c>
      <c r="D23" s="45">
        <f>SUM(D11:D22)</f>
        <v>639.27916106003283</v>
      </c>
      <c r="E23" s="45">
        <f>B11+C23+D23</f>
        <v>52141.724161060032</v>
      </c>
      <c r="F23" s="45"/>
      <c r="G23" s="60">
        <f>SUM(G11:G22)</f>
        <v>37723.480199302539</v>
      </c>
      <c r="H23" s="60">
        <f>SUM(H11:H22)</f>
        <v>14076.907961757486</v>
      </c>
      <c r="I23" s="58">
        <f>SUM(I11:I22)</f>
        <v>51800.388161060029</v>
      </c>
      <c r="J23" s="45"/>
      <c r="K23" s="16"/>
      <c r="L23" s="16"/>
      <c r="N23" s="161"/>
      <c r="O23" s="163"/>
    </row>
    <row r="24" spans="1:15" ht="15.6" x14ac:dyDescent="0.3">
      <c r="A24" s="27"/>
      <c r="B24" s="59"/>
      <c r="C24" s="45"/>
      <c r="D24" s="45"/>
      <c r="E24" s="45"/>
      <c r="F24" s="45"/>
      <c r="G24" s="45"/>
      <c r="H24" s="45"/>
      <c r="I24" s="45"/>
      <c r="J24" s="45"/>
      <c r="K24" s="16"/>
      <c r="L24" s="16"/>
      <c r="N24" s="161"/>
      <c r="O24" s="163"/>
    </row>
    <row r="25" spans="1:15" ht="15.6" x14ac:dyDescent="0.3">
      <c r="A25" s="140" t="s">
        <v>128</v>
      </c>
      <c r="B25" s="59"/>
      <c r="C25" s="45"/>
      <c r="D25" s="45"/>
      <c r="E25" s="45"/>
      <c r="F25" s="45"/>
      <c r="G25" s="45"/>
      <c r="H25" s="45"/>
      <c r="I25" s="45"/>
      <c r="J25" s="45"/>
      <c r="K25" s="16"/>
      <c r="L25" s="16"/>
      <c r="N25" s="161"/>
      <c r="O25" s="163"/>
    </row>
    <row r="26" spans="1:15" ht="15.6" x14ac:dyDescent="0.3">
      <c r="A26" s="27" t="s">
        <v>45</v>
      </c>
      <c r="B26" s="59">
        <f>J22</f>
        <v>341.33600000000001</v>
      </c>
      <c r="C26" s="164">
        <v>4615.5919999999996</v>
      </c>
      <c r="D26" s="164">
        <v>69.576567113627988</v>
      </c>
      <c r="E26" s="45">
        <f t="shared" ref="E26:E32" si="4">SUM(B26:D26)</f>
        <v>5026.5045671136277</v>
      </c>
      <c r="F26" s="58"/>
      <c r="G26" s="60">
        <f t="shared" ref="G26:G32" si="5">I26-H26</f>
        <v>3554.9193840467083</v>
      </c>
      <c r="H26" s="166">
        <v>1097.3861830669198</v>
      </c>
      <c r="I26" s="58">
        <f t="shared" ref="I26:I32" si="6">E26-J26</f>
        <v>4652.3055671136281</v>
      </c>
      <c r="J26" s="166">
        <v>374.19900000000001</v>
      </c>
      <c r="K26" s="16"/>
      <c r="L26" s="16"/>
      <c r="N26" s="161"/>
      <c r="O26" s="163"/>
    </row>
    <row r="27" spans="1:15" ht="15.6" x14ac:dyDescent="0.3">
      <c r="A27" s="27" t="s">
        <v>46</v>
      </c>
      <c r="B27" s="59">
        <f t="shared" ref="B27:B32" si="7">J26</f>
        <v>374.19900000000001</v>
      </c>
      <c r="C27" s="164">
        <v>4516.2939999999999</v>
      </c>
      <c r="D27" s="164">
        <v>68.163404014207984</v>
      </c>
      <c r="E27" s="45">
        <f t="shared" si="4"/>
        <v>4958.6564040142075</v>
      </c>
      <c r="F27" s="58"/>
      <c r="G27" s="60">
        <f t="shared" si="5"/>
        <v>3210.4982438853222</v>
      </c>
      <c r="H27" s="166">
        <v>1289.7411601288848</v>
      </c>
      <c r="I27" s="58">
        <f t="shared" si="6"/>
        <v>4500.2394040142071</v>
      </c>
      <c r="J27" s="166">
        <v>458.41699999999997</v>
      </c>
      <c r="K27" s="16"/>
      <c r="L27" s="16"/>
      <c r="N27" s="161"/>
      <c r="O27" s="163"/>
    </row>
    <row r="28" spans="1:15" ht="15.6" x14ac:dyDescent="0.3">
      <c r="A28" s="27" t="s">
        <v>47</v>
      </c>
      <c r="B28" s="59">
        <f t="shared" si="7"/>
        <v>458.41699999999997</v>
      </c>
      <c r="C28" s="164">
        <v>4540.9309999999996</v>
      </c>
      <c r="D28" s="164">
        <v>64.668856699245978</v>
      </c>
      <c r="E28" s="45">
        <f t="shared" si="4"/>
        <v>5064.0168566992461</v>
      </c>
      <c r="F28" s="58"/>
      <c r="G28" s="60">
        <f t="shared" si="5"/>
        <v>3264.0575185749085</v>
      </c>
      <c r="H28" s="166">
        <v>1440.5663381243376</v>
      </c>
      <c r="I28" s="58">
        <f t="shared" si="6"/>
        <v>4704.6238566992461</v>
      </c>
      <c r="J28" s="166">
        <v>359.39299999999997</v>
      </c>
      <c r="K28" s="16"/>
      <c r="L28" s="16"/>
      <c r="N28" s="161"/>
      <c r="O28" s="163"/>
    </row>
    <row r="29" spans="1:15" ht="15.6" x14ac:dyDescent="0.3">
      <c r="A29" s="27" t="s">
        <v>48</v>
      </c>
      <c r="B29" s="59">
        <f t="shared" si="7"/>
        <v>359.39299999999997</v>
      </c>
      <c r="C29" s="169">
        <v>4665.6540000000005</v>
      </c>
      <c r="D29" s="169">
        <v>68.348592314287984</v>
      </c>
      <c r="E29" s="127">
        <f t="shared" si="4"/>
        <v>5093.3955923142885</v>
      </c>
      <c r="F29" s="126"/>
      <c r="G29" s="128">
        <f t="shared" si="5"/>
        <v>3080.2819170089679</v>
      </c>
      <c r="H29" s="168">
        <v>1457.3096753053208</v>
      </c>
      <c r="I29" s="126">
        <f t="shared" si="6"/>
        <v>4537.5915923142884</v>
      </c>
      <c r="J29" s="168">
        <v>555.80399999999997</v>
      </c>
      <c r="K29" s="16"/>
      <c r="L29" s="16"/>
      <c r="N29" s="161"/>
      <c r="O29" s="163"/>
    </row>
    <row r="30" spans="1:15" ht="15.6" x14ac:dyDescent="0.3">
      <c r="A30" s="27" t="s">
        <v>49</v>
      </c>
      <c r="B30" s="59">
        <f t="shared" si="7"/>
        <v>555.80399999999997</v>
      </c>
      <c r="C30" s="169">
        <v>3918.6709999999998</v>
      </c>
      <c r="D30" s="169">
        <v>67.055140223133989</v>
      </c>
      <c r="E30" s="127">
        <f t="shared" si="4"/>
        <v>4541.5301402231335</v>
      </c>
      <c r="F30" s="126"/>
      <c r="G30" s="128">
        <f t="shared" si="5"/>
        <v>2640.8183405548862</v>
      </c>
      <c r="H30" s="168">
        <v>1316.648799668247</v>
      </c>
      <c r="I30" s="126">
        <f t="shared" si="6"/>
        <v>3957.4671402231334</v>
      </c>
      <c r="J30" s="168">
        <v>584.06299999999999</v>
      </c>
      <c r="K30" s="16"/>
      <c r="L30" s="16"/>
      <c r="N30" s="161"/>
      <c r="O30" s="163"/>
    </row>
    <row r="31" spans="1:15" ht="15.6" x14ac:dyDescent="0.3">
      <c r="A31" s="27" t="s">
        <v>50</v>
      </c>
      <c r="B31" s="59">
        <f t="shared" si="7"/>
        <v>584.06299999999999</v>
      </c>
      <c r="C31" s="170">
        <v>4476.5870000000004</v>
      </c>
      <c r="D31" s="170">
        <v>73.247043313665984</v>
      </c>
      <c r="E31" s="131">
        <f t="shared" si="4"/>
        <v>5133.8970433136665</v>
      </c>
      <c r="F31" s="137"/>
      <c r="G31" s="130">
        <f t="shared" si="5"/>
        <v>3387.377702060699</v>
      </c>
      <c r="H31" s="168">
        <v>1298.7793412529677</v>
      </c>
      <c r="I31" s="126">
        <f t="shared" si="6"/>
        <v>4686.1570433136667</v>
      </c>
      <c r="J31" s="168">
        <v>447.74</v>
      </c>
      <c r="K31" s="16"/>
      <c r="L31" s="16"/>
      <c r="N31" s="161"/>
      <c r="O31" s="163"/>
    </row>
    <row r="32" spans="1:15" ht="15.6" x14ac:dyDescent="0.3">
      <c r="A32" s="27" t="s">
        <v>51</v>
      </c>
      <c r="B32" s="59">
        <f t="shared" si="7"/>
        <v>447.74</v>
      </c>
      <c r="C32" s="170">
        <v>4044.7089999999998</v>
      </c>
      <c r="D32" s="131">
        <f>(61739.5)*2.204622/2000</f>
        <v>68.056129984500004</v>
      </c>
      <c r="E32" s="131">
        <f t="shared" si="4"/>
        <v>4560.5051299844999</v>
      </c>
      <c r="F32" s="137"/>
      <c r="G32" s="130">
        <f t="shared" si="5"/>
        <v>3050.7239194686995</v>
      </c>
      <c r="H32" s="130">
        <f>((959.5978))*(2.204622/2)</f>
        <v>1057.7752105158002</v>
      </c>
      <c r="I32" s="126">
        <f t="shared" si="6"/>
        <v>4108.4991299844996</v>
      </c>
      <c r="J32" s="168">
        <v>452.00599999999997</v>
      </c>
      <c r="K32" s="16"/>
      <c r="L32" s="16"/>
      <c r="N32" s="161"/>
      <c r="O32" s="163"/>
    </row>
    <row r="33" spans="1:15" ht="15.6" x14ac:dyDescent="0.3">
      <c r="A33" s="23" t="s">
        <v>129</v>
      </c>
      <c r="B33" s="61"/>
      <c r="C33" s="50">
        <f>SUM(C26:C32)</f>
        <v>30778.437999999995</v>
      </c>
      <c r="D33" s="50">
        <f>SUM(D26:D32)</f>
        <v>479.11573366266992</v>
      </c>
      <c r="E33" s="50">
        <f>B26+C33+D33</f>
        <v>31598.889733662665</v>
      </c>
      <c r="F33" s="50"/>
      <c r="G33" s="50">
        <f>SUM(G26:G32)</f>
        <v>22188.677025600191</v>
      </c>
      <c r="H33" s="50">
        <f>SUM(H26:H32)</f>
        <v>8958.2067080624765</v>
      </c>
      <c r="I33" s="50">
        <f>SUM(I26:I32)</f>
        <v>31146.883733662668</v>
      </c>
      <c r="J33" s="50"/>
      <c r="K33" s="16"/>
      <c r="L33" s="16"/>
      <c r="N33" s="161"/>
      <c r="O33" s="163"/>
    </row>
    <row r="34" spans="1:15" ht="16.8" x14ac:dyDescent="0.3">
      <c r="A34" s="62" t="s">
        <v>122</v>
      </c>
      <c r="B34" s="24"/>
      <c r="C34" s="24"/>
      <c r="D34" s="24"/>
      <c r="E34" s="24"/>
      <c r="F34" s="24"/>
      <c r="G34" s="24"/>
      <c r="H34" s="24"/>
      <c r="I34" s="24"/>
      <c r="J34" s="24"/>
      <c r="K34" s="16"/>
      <c r="L34" s="16"/>
      <c r="N34" s="161"/>
      <c r="O34" s="163"/>
    </row>
    <row r="35" spans="1:15" ht="15.6" x14ac:dyDescent="0.3">
      <c r="A35" s="24" t="s">
        <v>96</v>
      </c>
      <c r="B35" s="24"/>
      <c r="C35" s="24"/>
      <c r="D35" s="24"/>
      <c r="E35" s="24"/>
      <c r="F35" s="24"/>
      <c r="G35" s="24"/>
      <c r="H35" s="24"/>
      <c r="I35" s="24"/>
      <c r="J35" s="24"/>
      <c r="K35" s="16"/>
      <c r="L35" s="16"/>
      <c r="N35" s="161"/>
    </row>
    <row r="36" spans="1:15" ht="15.6" x14ac:dyDescent="0.3">
      <c r="A36" s="28" t="s">
        <v>18</v>
      </c>
      <c r="B36" s="54">
        <f ca="1">NOW()</f>
        <v>44368.339088773151</v>
      </c>
      <c r="C36" s="44"/>
      <c r="D36" s="40"/>
      <c r="E36" s="40"/>
      <c r="F36" s="40"/>
      <c r="G36" s="40"/>
      <c r="H36" s="40"/>
      <c r="I36" s="40"/>
      <c r="J36" s="40"/>
      <c r="K36" s="16"/>
      <c r="L36" s="16"/>
    </row>
    <row r="37" spans="1:15" ht="15.6" x14ac:dyDescent="0.3">
      <c r="A37" s="1"/>
      <c r="B37" s="2"/>
      <c r="C37" s="3"/>
      <c r="D37" s="2"/>
      <c r="E37" s="2"/>
      <c r="F37" s="2"/>
      <c r="G37" s="2"/>
      <c r="H37" s="4"/>
      <c r="I37" s="2"/>
      <c r="J37" s="2"/>
      <c r="K37" s="16"/>
      <c r="L37" s="16"/>
    </row>
    <row r="38" spans="1:15" ht="15.6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16"/>
      <c r="L38" s="16"/>
    </row>
    <row r="39" spans="1:15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6"/>
      <c r="L39" s="16"/>
    </row>
    <row r="40" spans="1:15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6"/>
      <c r="L40" s="16"/>
    </row>
    <row r="41" spans="1:15" ht="15.6" x14ac:dyDescent="0.3">
      <c r="K41" s="16"/>
      <c r="L41" s="16"/>
    </row>
    <row r="42" spans="1:15" ht="15.6" x14ac:dyDescent="0.3">
      <c r="K42" s="16"/>
      <c r="L42" s="16"/>
    </row>
  </sheetData>
  <mergeCells count="3">
    <mergeCell ref="G2:I2"/>
    <mergeCell ref="B5:J5"/>
    <mergeCell ref="B2:E2"/>
  </mergeCells>
  <phoneticPr fontId="6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O37"/>
  <sheetViews>
    <sheetView showGridLines="0" zoomScaleNormal="100" workbookViewId="0">
      <selection activeCell="H20" sqref="H20"/>
    </sheetView>
  </sheetViews>
  <sheetFormatPr defaultRowHeight="13.2" x14ac:dyDescent="0.25"/>
  <cols>
    <col min="1" max="1" width="14.5546875" customWidth="1"/>
    <col min="2" max="2" width="11.77734375" customWidth="1"/>
    <col min="3" max="3" width="10.77734375" customWidth="1"/>
    <col min="4" max="4" width="9.5546875" bestFit="1" customWidth="1"/>
    <col min="5" max="5" width="11.21875" bestFit="1" customWidth="1"/>
    <col min="6" max="6" width="3.77734375" customWidth="1"/>
    <col min="7" max="7" width="10.77734375" bestFit="1" customWidth="1"/>
    <col min="8" max="8" width="10.77734375" customWidth="1"/>
    <col min="9" max="9" width="12.77734375" customWidth="1"/>
    <col min="10" max="10" width="9.77734375" customWidth="1"/>
    <col min="11" max="11" width="10.77734375" customWidth="1"/>
    <col min="12" max="12" width="10.21875" bestFit="1" customWidth="1"/>
    <col min="14" max="14" width="9.21875" bestFit="1" customWidth="1"/>
  </cols>
  <sheetData>
    <row r="1" spans="1:13" ht="13.8" x14ac:dyDescent="0.25">
      <c r="A1" s="23" t="s">
        <v>141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ht="13.8" x14ac:dyDescent="0.25">
      <c r="A2" s="24"/>
      <c r="B2" s="171" t="s">
        <v>0</v>
      </c>
      <c r="C2" s="171"/>
      <c r="D2" s="171"/>
      <c r="E2" s="171"/>
      <c r="F2" s="27"/>
      <c r="G2" s="171" t="s">
        <v>17</v>
      </c>
      <c r="H2" s="171"/>
      <c r="I2" s="171"/>
      <c r="J2" s="25"/>
      <c r="K2" s="25"/>
      <c r="L2" s="24"/>
    </row>
    <row r="3" spans="1:13" ht="13.8" x14ac:dyDescent="0.25">
      <c r="A3" s="24" t="s">
        <v>64</v>
      </c>
      <c r="B3" s="26" t="s">
        <v>28</v>
      </c>
      <c r="C3" s="63" t="s">
        <v>1</v>
      </c>
      <c r="D3" s="63" t="s">
        <v>29</v>
      </c>
      <c r="E3" s="63" t="s">
        <v>24</v>
      </c>
      <c r="F3" s="63"/>
      <c r="G3" s="25" t="s">
        <v>27</v>
      </c>
      <c r="H3" s="25"/>
      <c r="I3" s="25"/>
      <c r="J3" s="63" t="s">
        <v>31</v>
      </c>
      <c r="K3" s="63" t="s">
        <v>24</v>
      </c>
      <c r="L3" s="63" t="s">
        <v>26</v>
      </c>
    </row>
    <row r="4" spans="1:13" ht="16.2" x14ac:dyDescent="0.25">
      <c r="A4" s="29" t="s">
        <v>65</v>
      </c>
      <c r="B4" s="31" t="s">
        <v>25</v>
      </c>
      <c r="C4" s="32"/>
      <c r="D4" s="32"/>
      <c r="E4" s="32"/>
      <c r="F4" s="32"/>
      <c r="G4" s="31" t="s">
        <v>3</v>
      </c>
      <c r="H4" s="31" t="s">
        <v>161</v>
      </c>
      <c r="I4" s="31" t="s">
        <v>92</v>
      </c>
      <c r="J4" s="32"/>
      <c r="K4" s="32"/>
      <c r="L4" s="63" t="s">
        <v>74</v>
      </c>
    </row>
    <row r="5" spans="1:13" ht="14.4" x14ac:dyDescent="0.3">
      <c r="A5" s="24"/>
      <c r="B5" s="173" t="s">
        <v>83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3" ht="13.8" x14ac:dyDescent="0.25">
      <c r="A6" s="24" t="s">
        <v>120</v>
      </c>
      <c r="B6" s="57">
        <v>1775.316</v>
      </c>
      <c r="C6" s="57">
        <v>24911.604000000003</v>
      </c>
      <c r="D6" s="57">
        <v>319.33808794654203</v>
      </c>
      <c r="E6" s="57">
        <v>27006.258087946542</v>
      </c>
      <c r="F6" s="57"/>
      <c r="G6" s="165">
        <f>K6-J6</f>
        <v>22314.872644261599</v>
      </c>
      <c r="H6" s="38">
        <v>8658</v>
      </c>
      <c r="I6" s="38">
        <v>13656</v>
      </c>
      <c r="J6" s="57">
        <v>2838.855443684904</v>
      </c>
      <c r="K6" s="57">
        <v>25153.728087946503</v>
      </c>
      <c r="L6" s="57">
        <v>1852.5300000000389</v>
      </c>
      <c r="M6" s="15"/>
    </row>
    <row r="7" spans="1:13" ht="16.2" x14ac:dyDescent="0.25">
      <c r="A7" s="24" t="s">
        <v>123</v>
      </c>
      <c r="B7" s="57">
        <v>1853</v>
      </c>
      <c r="C7" s="57">
        <v>25380</v>
      </c>
      <c r="D7" s="57">
        <v>300</v>
      </c>
      <c r="E7" s="57">
        <f>SUM(B7:D7)</f>
        <v>27533</v>
      </c>
      <c r="F7" s="57"/>
      <c r="G7" s="57">
        <f>K7-J7</f>
        <v>23825.325000000001</v>
      </c>
      <c r="H7" s="38">
        <v>9500</v>
      </c>
      <c r="I7" s="38">
        <v>14325</v>
      </c>
      <c r="J7" s="57">
        <v>1900</v>
      </c>
      <c r="K7" s="57">
        <f>E7-L7</f>
        <v>25725.325000000001</v>
      </c>
      <c r="L7" s="57">
        <v>1807.675</v>
      </c>
      <c r="M7" s="15"/>
    </row>
    <row r="8" spans="1:13" ht="16.2" x14ac:dyDescent="0.25">
      <c r="A8" s="24" t="s">
        <v>155</v>
      </c>
      <c r="B8" s="57">
        <v>1818</v>
      </c>
      <c r="C8" s="57">
        <v>25945</v>
      </c>
      <c r="D8" s="57">
        <v>600</v>
      </c>
      <c r="E8" s="57">
        <f>SUM(B8:D8)</f>
        <v>28363</v>
      </c>
      <c r="F8" s="57"/>
      <c r="G8" s="57">
        <f>K8-J8</f>
        <v>25410.325000000001</v>
      </c>
      <c r="H8" s="38">
        <v>12000</v>
      </c>
      <c r="I8" s="38">
        <v>13400</v>
      </c>
      <c r="J8" s="57">
        <v>1450</v>
      </c>
      <c r="K8" s="57">
        <f>E8-L8</f>
        <v>26860.325000000001</v>
      </c>
      <c r="L8" s="57">
        <v>1502.675</v>
      </c>
      <c r="M8" s="15"/>
    </row>
    <row r="9" spans="1:13" ht="13.8" x14ac:dyDescent="0.25">
      <c r="A9" s="24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15"/>
    </row>
    <row r="10" spans="1:13" ht="13.8" x14ac:dyDescent="0.25">
      <c r="A10" s="139" t="s">
        <v>120</v>
      </c>
      <c r="B10" s="116"/>
      <c r="C10" s="45"/>
      <c r="D10" s="45"/>
      <c r="E10" s="45"/>
      <c r="F10" s="58"/>
      <c r="G10" s="45"/>
      <c r="H10" s="45"/>
      <c r="I10" s="45"/>
      <c r="J10" s="45"/>
      <c r="K10" s="45"/>
      <c r="L10" s="58"/>
    </row>
    <row r="11" spans="1:13" ht="13.8" x14ac:dyDescent="0.25">
      <c r="A11" s="27" t="s">
        <v>45</v>
      </c>
      <c r="B11" s="58">
        <f>1400.569+374.747</f>
        <v>1775.316</v>
      </c>
      <c r="C11" s="164">
        <v>2150</v>
      </c>
      <c r="D11" s="166">
        <v>30.4</v>
      </c>
      <c r="E11" s="45">
        <f t="shared" ref="E11:E18" si="0">SUM(B11:D11)</f>
        <v>3955.7159999999999</v>
      </c>
      <c r="F11" s="58"/>
      <c r="G11" s="58">
        <f t="shared" ref="G11:G22" si="1">K11-J11</f>
        <v>1882.0159999999998</v>
      </c>
      <c r="H11" s="164">
        <v>624.20000000000005</v>
      </c>
      <c r="I11" s="45">
        <f t="shared" ref="I11:I22" si="2">G11-H11</f>
        <v>1257.8159999999998</v>
      </c>
      <c r="J11" s="164">
        <v>252.7</v>
      </c>
      <c r="K11" s="45">
        <f t="shared" ref="K11:K22" si="3">E11-L11</f>
        <v>2134.7159999999999</v>
      </c>
      <c r="L11" s="166">
        <v>1821</v>
      </c>
      <c r="M11" s="117"/>
    </row>
    <row r="12" spans="1:13" ht="13.8" x14ac:dyDescent="0.25">
      <c r="A12" s="27" t="s">
        <v>46</v>
      </c>
      <c r="B12" s="58">
        <f t="shared" ref="B12:B22" si="4">L11</f>
        <v>1821</v>
      </c>
      <c r="C12" s="164">
        <v>1999.6</v>
      </c>
      <c r="D12" s="166">
        <v>24.5</v>
      </c>
      <c r="E12" s="45">
        <f t="shared" si="0"/>
        <v>3845.1</v>
      </c>
      <c r="F12" s="58"/>
      <c r="G12" s="58">
        <f t="shared" si="1"/>
        <v>1707.0419999999999</v>
      </c>
      <c r="H12" s="164">
        <v>593.20000000000005</v>
      </c>
      <c r="I12" s="45">
        <f t="shared" si="2"/>
        <v>1113.8419999999999</v>
      </c>
      <c r="J12" s="164">
        <v>257.7</v>
      </c>
      <c r="K12" s="45">
        <f t="shared" si="3"/>
        <v>1964.742</v>
      </c>
      <c r="L12" s="166">
        <v>1880.3579999999999</v>
      </c>
      <c r="M12" s="117"/>
    </row>
    <row r="13" spans="1:13" ht="13.8" x14ac:dyDescent="0.25">
      <c r="A13" s="27" t="s">
        <v>47</v>
      </c>
      <c r="B13" s="58">
        <f t="shared" si="4"/>
        <v>1880.3579999999999</v>
      </c>
      <c r="C13" s="164">
        <v>2110.9</v>
      </c>
      <c r="D13" s="166">
        <v>35.299999999999997</v>
      </c>
      <c r="E13" s="45">
        <f t="shared" si="0"/>
        <v>4026.558</v>
      </c>
      <c r="F13" s="58"/>
      <c r="G13" s="58">
        <f t="shared" si="1"/>
        <v>1708.1940000000002</v>
      </c>
      <c r="H13" s="164">
        <v>607.70000000000005</v>
      </c>
      <c r="I13" s="45">
        <f t="shared" si="2"/>
        <v>1100.4940000000001</v>
      </c>
      <c r="J13" s="164">
        <v>184.3</v>
      </c>
      <c r="K13" s="45">
        <f t="shared" si="3"/>
        <v>1892.4940000000001</v>
      </c>
      <c r="L13" s="166">
        <v>2134.0639999999999</v>
      </c>
      <c r="M13" s="117"/>
    </row>
    <row r="14" spans="1:13" ht="13.8" x14ac:dyDescent="0.25">
      <c r="A14" s="27" t="s">
        <v>48</v>
      </c>
      <c r="B14" s="58">
        <f t="shared" si="4"/>
        <v>2134.0639999999999</v>
      </c>
      <c r="C14" s="164">
        <v>2154.4</v>
      </c>
      <c r="D14" s="166">
        <v>32.6</v>
      </c>
      <c r="E14" s="45">
        <f t="shared" si="0"/>
        <v>4321.0640000000003</v>
      </c>
      <c r="F14" s="58"/>
      <c r="G14" s="58">
        <f t="shared" si="1"/>
        <v>1840.0670000000005</v>
      </c>
      <c r="H14" s="164">
        <v>587.70000000000005</v>
      </c>
      <c r="I14" s="45">
        <f t="shared" si="2"/>
        <v>1252.3670000000004</v>
      </c>
      <c r="J14" s="164">
        <v>125.1</v>
      </c>
      <c r="K14" s="45">
        <f t="shared" si="3"/>
        <v>1965.1670000000004</v>
      </c>
      <c r="L14" s="166">
        <v>2355.8969999999999</v>
      </c>
      <c r="M14" s="117"/>
    </row>
    <row r="15" spans="1:13" ht="13.8" x14ac:dyDescent="0.25">
      <c r="A15" s="27" t="s">
        <v>49</v>
      </c>
      <c r="B15" s="58">
        <f t="shared" si="4"/>
        <v>2355.8969999999999</v>
      </c>
      <c r="C15" s="164">
        <v>1999.5</v>
      </c>
      <c r="D15" s="166">
        <v>28.1</v>
      </c>
      <c r="E15" s="45">
        <f t="shared" si="0"/>
        <v>4383.4970000000003</v>
      </c>
      <c r="F15" s="58"/>
      <c r="G15" s="58">
        <f t="shared" si="1"/>
        <v>1610.4990000000005</v>
      </c>
      <c r="H15" s="164">
        <v>641.4</v>
      </c>
      <c r="I15" s="45">
        <f t="shared" si="2"/>
        <v>969.0990000000005</v>
      </c>
      <c r="J15" s="164">
        <v>396.2</v>
      </c>
      <c r="K15" s="45">
        <f t="shared" si="3"/>
        <v>2006.6990000000005</v>
      </c>
      <c r="L15" s="166">
        <v>2376.7979999999998</v>
      </c>
      <c r="M15" s="117"/>
    </row>
    <row r="16" spans="1:13" ht="13.8" x14ac:dyDescent="0.25">
      <c r="A16" s="27" t="s">
        <v>50</v>
      </c>
      <c r="B16" s="58">
        <f t="shared" si="4"/>
        <v>2376.7979999999998</v>
      </c>
      <c r="C16" s="164">
        <v>2201.1</v>
      </c>
      <c r="D16" s="166">
        <v>23.8</v>
      </c>
      <c r="E16" s="45">
        <f t="shared" si="0"/>
        <v>4601.6979999999994</v>
      </c>
      <c r="F16" s="58"/>
      <c r="G16" s="58">
        <f t="shared" si="1"/>
        <v>1954.3039999999994</v>
      </c>
      <c r="H16" s="164">
        <v>722.7</v>
      </c>
      <c r="I16" s="45">
        <f t="shared" si="2"/>
        <v>1231.6039999999994</v>
      </c>
      <c r="J16" s="164">
        <v>320.8</v>
      </c>
      <c r="K16" s="45">
        <f t="shared" si="3"/>
        <v>2275.1039999999994</v>
      </c>
      <c r="L16" s="166">
        <v>2326.5940000000001</v>
      </c>
      <c r="M16" s="117"/>
    </row>
    <row r="17" spans="1:15" ht="13.8" x14ac:dyDescent="0.25">
      <c r="A17" s="27" t="s">
        <v>51</v>
      </c>
      <c r="B17" s="58">
        <f t="shared" si="4"/>
        <v>2326.5940000000001</v>
      </c>
      <c r="C17" s="164">
        <v>2099.5</v>
      </c>
      <c r="D17" s="166">
        <v>24.4</v>
      </c>
      <c r="E17" s="45">
        <f t="shared" si="0"/>
        <v>4450.4939999999997</v>
      </c>
      <c r="F17" s="58"/>
      <c r="G17" s="58">
        <f t="shared" si="1"/>
        <v>1619.6929999999995</v>
      </c>
      <c r="H17" s="164">
        <v>738.5</v>
      </c>
      <c r="I17" s="45">
        <f t="shared" si="2"/>
        <v>881.19299999999953</v>
      </c>
      <c r="J17" s="164">
        <v>230.2</v>
      </c>
      <c r="K17" s="45">
        <f t="shared" si="3"/>
        <v>1849.8929999999996</v>
      </c>
      <c r="L17" s="166">
        <v>2600.6010000000001</v>
      </c>
      <c r="M17" s="117"/>
    </row>
    <row r="18" spans="1:15" ht="13.8" x14ac:dyDescent="0.25">
      <c r="A18" s="27" t="s">
        <v>52</v>
      </c>
      <c r="B18" s="58">
        <f t="shared" si="4"/>
        <v>2600.6010000000001</v>
      </c>
      <c r="C18" s="164">
        <v>2057.6</v>
      </c>
      <c r="D18" s="166">
        <v>24.3</v>
      </c>
      <c r="E18" s="45">
        <f t="shared" si="0"/>
        <v>4682.5010000000002</v>
      </c>
      <c r="F18" s="58"/>
      <c r="G18" s="58">
        <f t="shared" si="1"/>
        <v>1879.2860000000003</v>
      </c>
      <c r="H18" s="164">
        <v>872</v>
      </c>
      <c r="I18" s="45">
        <f t="shared" si="2"/>
        <v>1007.2860000000003</v>
      </c>
      <c r="J18" s="164">
        <v>357.8</v>
      </c>
      <c r="K18" s="45">
        <f t="shared" si="3"/>
        <v>2237.0860000000002</v>
      </c>
      <c r="L18" s="166">
        <v>2445.415</v>
      </c>
      <c r="M18" s="58"/>
    </row>
    <row r="19" spans="1:15" ht="13.8" x14ac:dyDescent="0.25">
      <c r="A19" s="27" t="s">
        <v>53</v>
      </c>
      <c r="B19" s="58">
        <f t="shared" si="4"/>
        <v>2445.415</v>
      </c>
      <c r="C19" s="164">
        <v>2035.3</v>
      </c>
      <c r="D19" s="166">
        <v>25.2</v>
      </c>
      <c r="E19" s="45">
        <f>SUM(B19:D19)</f>
        <v>4505.915</v>
      </c>
      <c r="F19" s="58"/>
      <c r="G19" s="58">
        <f t="shared" si="1"/>
        <v>2067.404</v>
      </c>
      <c r="H19" s="164">
        <v>813.7</v>
      </c>
      <c r="I19" s="45">
        <f t="shared" si="2"/>
        <v>1253.704</v>
      </c>
      <c r="J19" s="164">
        <v>167.7</v>
      </c>
      <c r="K19" s="45">
        <f t="shared" si="3"/>
        <v>2235.1039999999998</v>
      </c>
      <c r="L19" s="166">
        <v>2270.8110000000001</v>
      </c>
      <c r="M19" s="117"/>
    </row>
    <row r="20" spans="1:15" ht="13.8" x14ac:dyDescent="0.25">
      <c r="A20" s="27" t="s">
        <v>55</v>
      </c>
      <c r="B20" s="58">
        <f t="shared" si="4"/>
        <v>2270.8110000000001</v>
      </c>
      <c r="C20" s="164">
        <v>2122.8000000000002</v>
      </c>
      <c r="D20" s="166">
        <v>27.7</v>
      </c>
      <c r="E20" s="45">
        <f>SUM(B20:D20)</f>
        <v>4421.3110000000006</v>
      </c>
      <c r="F20" s="58"/>
      <c r="G20" s="58">
        <f t="shared" si="1"/>
        <v>2133.4870000000005</v>
      </c>
      <c r="H20" s="164">
        <v>841.5</v>
      </c>
      <c r="I20" s="45">
        <f t="shared" si="2"/>
        <v>1291.9870000000005</v>
      </c>
      <c r="J20" s="164">
        <v>164.6</v>
      </c>
      <c r="K20" s="45">
        <f t="shared" si="3"/>
        <v>2298.0870000000004</v>
      </c>
      <c r="L20" s="166">
        <v>2123.2240000000002</v>
      </c>
      <c r="M20" s="117"/>
    </row>
    <row r="21" spans="1:15" ht="13.8" x14ac:dyDescent="0.25">
      <c r="A21" s="27" t="s">
        <v>56</v>
      </c>
      <c r="B21" s="58">
        <f t="shared" si="4"/>
        <v>2123.2240000000002</v>
      </c>
      <c r="C21" s="164">
        <v>2012.8</v>
      </c>
      <c r="D21" s="166">
        <v>22.4</v>
      </c>
      <c r="E21" s="45">
        <f>SUM(B21:D21)</f>
        <v>4158.424</v>
      </c>
      <c r="F21" s="58"/>
      <c r="G21" s="58">
        <f t="shared" si="1"/>
        <v>2011.617</v>
      </c>
      <c r="H21" s="164">
        <v>812</v>
      </c>
      <c r="I21" s="45">
        <f t="shared" si="2"/>
        <v>1199.617</v>
      </c>
      <c r="J21" s="164">
        <v>201.7</v>
      </c>
      <c r="K21" s="45">
        <f t="shared" si="3"/>
        <v>2213.317</v>
      </c>
      <c r="L21" s="166">
        <v>1945.107</v>
      </c>
      <c r="M21" s="117"/>
    </row>
    <row r="22" spans="1:15" ht="13.8" x14ac:dyDescent="0.25">
      <c r="A22" s="27" t="s">
        <v>58</v>
      </c>
      <c r="B22" s="58">
        <f t="shared" si="4"/>
        <v>1945.107</v>
      </c>
      <c r="C22" s="164">
        <v>1967.6</v>
      </c>
      <c r="D22" s="166">
        <v>20.7</v>
      </c>
      <c r="E22" s="45">
        <f>SUM(B22:D22)</f>
        <v>3933.4069999999997</v>
      </c>
      <c r="F22" s="58"/>
      <c r="G22" s="58">
        <f t="shared" si="1"/>
        <v>1900.6320000000001</v>
      </c>
      <c r="H22" s="164">
        <v>803.2</v>
      </c>
      <c r="I22" s="45">
        <f t="shared" si="2"/>
        <v>1097.432</v>
      </c>
      <c r="J22" s="164">
        <v>180.1</v>
      </c>
      <c r="K22" s="45">
        <f t="shared" si="3"/>
        <v>2080.732</v>
      </c>
      <c r="L22" s="166">
        <v>1852.675</v>
      </c>
      <c r="M22" s="117"/>
      <c r="O22" s="117"/>
    </row>
    <row r="23" spans="1:15" ht="13.8" x14ac:dyDescent="0.25">
      <c r="A23" s="27" t="s">
        <v>3</v>
      </c>
      <c r="B23" s="58"/>
      <c r="C23" s="45">
        <f>SUM(C11:C22)</f>
        <v>24911.099999999995</v>
      </c>
      <c r="D23" s="58">
        <f>SUM(D11:D22)</f>
        <v>319.39999999999998</v>
      </c>
      <c r="E23" s="45">
        <f>B11+C23+D23</f>
        <v>27005.815999999995</v>
      </c>
      <c r="F23" s="58"/>
      <c r="G23" s="58">
        <f>SUM(G11:G22)</f>
        <v>22314.241000000002</v>
      </c>
      <c r="H23" s="45">
        <f>SUM(H11:H22)</f>
        <v>8657.8000000000011</v>
      </c>
      <c r="I23" s="45">
        <v>14456</v>
      </c>
      <c r="J23" s="45">
        <f>SUM(J11:J22)</f>
        <v>2838.8999999999996</v>
      </c>
      <c r="K23" s="45">
        <f>G23+J23</f>
        <v>25153.141000000003</v>
      </c>
      <c r="L23" s="58"/>
      <c r="M23" s="117"/>
    </row>
    <row r="24" spans="1:15" ht="13.8" x14ac:dyDescent="0.25">
      <c r="A24" s="27"/>
      <c r="B24" s="116"/>
      <c r="C24" s="45"/>
      <c r="D24" s="45"/>
      <c r="E24" s="45"/>
      <c r="F24" s="58"/>
      <c r="G24" s="45"/>
      <c r="H24" s="45"/>
      <c r="I24" s="45"/>
      <c r="J24" s="45"/>
      <c r="K24" s="45"/>
      <c r="L24" s="58"/>
    </row>
    <row r="25" spans="1:15" ht="13.8" x14ac:dyDescent="0.25">
      <c r="A25" s="139" t="s">
        <v>128</v>
      </c>
      <c r="B25" s="116"/>
      <c r="C25" s="45"/>
      <c r="D25" s="45"/>
      <c r="E25" s="45"/>
      <c r="F25" s="58"/>
      <c r="G25" s="45"/>
      <c r="H25" s="45"/>
      <c r="I25" s="45"/>
      <c r="J25" s="45"/>
      <c r="K25" s="45"/>
      <c r="L25" s="58"/>
    </row>
    <row r="26" spans="1:15" ht="13.8" x14ac:dyDescent="0.25">
      <c r="A26" s="27" t="s">
        <v>45</v>
      </c>
      <c r="B26" s="58">
        <f>L22</f>
        <v>1852.675</v>
      </c>
      <c r="C26" s="164">
        <v>2282.5</v>
      </c>
      <c r="D26" s="166">
        <v>20.5</v>
      </c>
      <c r="E26" s="45">
        <f t="shared" ref="E26:E32" si="5">SUM(B26:D26)</f>
        <v>4155.6750000000002</v>
      </c>
      <c r="F26" s="58"/>
      <c r="G26" s="166">
        <v>2003.5</v>
      </c>
      <c r="H26" s="164">
        <v>795</v>
      </c>
      <c r="I26" s="164">
        <v>1208.5</v>
      </c>
      <c r="J26" s="164">
        <v>184</v>
      </c>
      <c r="K26" s="45">
        <f t="shared" ref="K26:K32" si="6">E26-L26</f>
        <v>2187.6750000000002</v>
      </c>
      <c r="L26" s="166">
        <v>1968</v>
      </c>
      <c r="M26" s="117"/>
    </row>
    <row r="27" spans="1:15" ht="13.8" x14ac:dyDescent="0.25">
      <c r="A27" s="27" t="s">
        <v>46</v>
      </c>
      <c r="B27" s="58">
        <f t="shared" ref="B27:B32" si="7">L26</f>
        <v>1968</v>
      </c>
      <c r="C27" s="164">
        <v>2206.8000000000002</v>
      </c>
      <c r="D27" s="166">
        <v>21.1</v>
      </c>
      <c r="E27" s="45">
        <f t="shared" si="5"/>
        <v>4195.9000000000005</v>
      </c>
      <c r="F27" s="58"/>
      <c r="G27" s="166">
        <v>1901.6</v>
      </c>
      <c r="H27" s="164">
        <v>752</v>
      </c>
      <c r="I27" s="164">
        <v>1149.5999999999999</v>
      </c>
      <c r="J27" s="164">
        <v>177.2</v>
      </c>
      <c r="K27" s="45">
        <f t="shared" si="6"/>
        <v>2078.8000000000006</v>
      </c>
      <c r="L27" s="166">
        <v>2117.1</v>
      </c>
      <c r="M27" s="117"/>
    </row>
    <row r="28" spans="1:15" ht="13.8" x14ac:dyDescent="0.25">
      <c r="A28" s="27" t="s">
        <v>47</v>
      </c>
      <c r="B28" s="58">
        <f t="shared" si="7"/>
        <v>2117.1</v>
      </c>
      <c r="C28" s="164">
        <v>2233.5</v>
      </c>
      <c r="D28" s="166">
        <v>25.3</v>
      </c>
      <c r="E28" s="45">
        <f t="shared" si="5"/>
        <v>4375.9000000000005</v>
      </c>
      <c r="F28" s="58"/>
      <c r="G28" s="166">
        <v>2030</v>
      </c>
      <c r="H28" s="164">
        <v>831</v>
      </c>
      <c r="I28" s="164">
        <v>1199</v>
      </c>
      <c r="J28" s="164">
        <v>235</v>
      </c>
      <c r="K28" s="45">
        <f t="shared" si="6"/>
        <v>2265.1000000000004</v>
      </c>
      <c r="L28" s="166">
        <v>2110.8000000000002</v>
      </c>
      <c r="M28" s="117"/>
    </row>
    <row r="29" spans="1:15" ht="13.8" x14ac:dyDescent="0.25">
      <c r="A29" s="27" t="s">
        <v>48</v>
      </c>
      <c r="B29" s="58">
        <f t="shared" si="7"/>
        <v>2110.8000000000002</v>
      </c>
      <c r="C29" s="164">
        <v>2308.8000000000002</v>
      </c>
      <c r="D29" s="168">
        <v>19</v>
      </c>
      <c r="E29" s="127">
        <f t="shared" si="5"/>
        <v>4438.6000000000004</v>
      </c>
      <c r="F29" s="126"/>
      <c r="G29" s="168">
        <v>1804.7</v>
      </c>
      <c r="H29" s="169">
        <v>683</v>
      </c>
      <c r="I29" s="164">
        <v>1121.7</v>
      </c>
      <c r="J29" s="169">
        <v>327.8</v>
      </c>
      <c r="K29" s="127">
        <f t="shared" si="6"/>
        <v>2132.6000000000004</v>
      </c>
      <c r="L29" s="168">
        <v>2306</v>
      </c>
      <c r="M29" s="117"/>
    </row>
    <row r="30" spans="1:15" ht="13.8" x14ac:dyDescent="0.25">
      <c r="A30" s="27" t="s">
        <v>49</v>
      </c>
      <c r="B30" s="58">
        <f t="shared" si="7"/>
        <v>2306</v>
      </c>
      <c r="C30" s="164">
        <v>1924.7</v>
      </c>
      <c r="D30" s="168">
        <v>21.4</v>
      </c>
      <c r="E30" s="127">
        <f t="shared" si="5"/>
        <v>4252.0999999999995</v>
      </c>
      <c r="F30" s="126"/>
      <c r="G30" s="168">
        <v>1690.2</v>
      </c>
      <c r="H30" s="169">
        <v>552</v>
      </c>
      <c r="I30" s="164">
        <v>1138.2</v>
      </c>
      <c r="J30" s="169">
        <v>256</v>
      </c>
      <c r="K30" s="127">
        <f t="shared" si="6"/>
        <v>1946.0999999999995</v>
      </c>
      <c r="L30" s="168">
        <v>2306</v>
      </c>
      <c r="M30" s="117"/>
    </row>
    <row r="31" spans="1:15" ht="13.8" x14ac:dyDescent="0.25">
      <c r="A31" s="27" t="s">
        <v>50</v>
      </c>
      <c r="B31" s="58">
        <f t="shared" si="7"/>
        <v>2306</v>
      </c>
      <c r="C31" s="164">
        <v>2222.1</v>
      </c>
      <c r="D31" s="168">
        <v>21.2</v>
      </c>
      <c r="E31" s="127">
        <f t="shared" si="5"/>
        <v>4549.3</v>
      </c>
      <c r="F31" s="126"/>
      <c r="G31" s="168">
        <v>2148.1999999999998</v>
      </c>
      <c r="H31" s="169">
        <v>740</v>
      </c>
      <c r="I31" s="164">
        <v>1408.2</v>
      </c>
      <c r="J31" s="169">
        <v>155.80000000000001</v>
      </c>
      <c r="K31" s="127">
        <f t="shared" si="6"/>
        <v>2304</v>
      </c>
      <c r="L31" s="168">
        <v>2245.3000000000002</v>
      </c>
      <c r="M31" s="117"/>
    </row>
    <row r="32" spans="1:15" ht="13.8" x14ac:dyDescent="0.25">
      <c r="A32" s="27" t="s">
        <v>51</v>
      </c>
      <c r="B32" s="58">
        <f t="shared" si="7"/>
        <v>2245.3000000000002</v>
      </c>
      <c r="C32" s="164">
        <v>1991.9</v>
      </c>
      <c r="D32" s="168">
        <v>20.5</v>
      </c>
      <c r="E32" s="127">
        <f t="shared" si="5"/>
        <v>4257.7000000000007</v>
      </c>
      <c r="F32" s="126"/>
      <c r="G32" s="168">
        <v>1950.5</v>
      </c>
      <c r="H32" s="169" t="s">
        <v>10</v>
      </c>
      <c r="I32" s="169" t="s">
        <v>10</v>
      </c>
      <c r="J32" s="169">
        <v>129.6</v>
      </c>
      <c r="K32" s="127">
        <f t="shared" si="6"/>
        <v>2080.1000000000008</v>
      </c>
      <c r="L32" s="168">
        <v>2177.6</v>
      </c>
      <c r="M32" s="117"/>
    </row>
    <row r="33" spans="1:12" ht="13.8" x14ac:dyDescent="0.25">
      <c r="A33" s="23" t="s">
        <v>129</v>
      </c>
      <c r="B33" s="64"/>
      <c r="C33" s="50">
        <f>SUM(C26:C32)</f>
        <v>15170.300000000001</v>
      </c>
      <c r="D33" s="64">
        <f>SUM(D26:D32)</f>
        <v>149</v>
      </c>
      <c r="E33" s="50">
        <f>B26+C33+D33</f>
        <v>17171.975000000002</v>
      </c>
      <c r="F33" s="64"/>
      <c r="G33" s="64">
        <f>SUM(G26:G32)</f>
        <v>13528.7</v>
      </c>
      <c r="H33" s="50">
        <f>SUM(H26:H32)</f>
        <v>4353</v>
      </c>
      <c r="I33" s="50">
        <f>SUM(I26:I32)</f>
        <v>7225.2</v>
      </c>
      <c r="J33" s="50">
        <f>SUM(J26:J32)</f>
        <v>1465.3999999999999</v>
      </c>
      <c r="K33" s="64">
        <f>SUM(K26:K32)</f>
        <v>14994.375000000002</v>
      </c>
      <c r="L33" s="64"/>
    </row>
    <row r="34" spans="1:12" ht="16.2" x14ac:dyDescent="0.25">
      <c r="A34" s="62" t="s">
        <v>191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ht="14.4" x14ac:dyDescent="0.3">
      <c r="A35" s="24" t="s">
        <v>96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ht="13.8" x14ac:dyDescent="0.25">
      <c r="A36" s="24" t="s">
        <v>196</v>
      </c>
      <c r="B36" s="5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13.8" x14ac:dyDescent="0.25">
      <c r="A37" s="28" t="s">
        <v>18</v>
      </c>
      <c r="B37" s="54">
        <f ca="1">NOW()</f>
        <v>44368.339088773151</v>
      </c>
    </row>
  </sheetData>
  <mergeCells count="3">
    <mergeCell ref="B5:L5"/>
    <mergeCell ref="G2:I2"/>
    <mergeCell ref="B2:E2"/>
  </mergeCells>
  <phoneticPr fontId="6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6" zoomScaleNormal="100" workbookViewId="0">
      <selection activeCell="E39" sqref="E39:H39"/>
    </sheetView>
  </sheetViews>
  <sheetFormatPr defaultRowHeight="13.2" x14ac:dyDescent="0.25"/>
  <cols>
    <col min="1" max="1" width="14.77734375" customWidth="1"/>
    <col min="2" max="2" width="12.6640625" customWidth="1"/>
    <col min="3" max="3" width="10.21875" customWidth="1"/>
    <col min="4" max="4" width="12.21875" customWidth="1"/>
    <col min="5" max="5" width="10.77734375" customWidth="1"/>
    <col min="6" max="6" width="10.5546875" customWidth="1"/>
    <col min="7" max="7" width="11.77734375" customWidth="1"/>
    <col min="8" max="8" width="8.77734375" customWidth="1"/>
    <col min="9" max="9" width="9.77734375" customWidth="1"/>
    <col min="10" max="11" width="7.77734375" customWidth="1"/>
    <col min="12" max="12" width="8.5546875" customWidth="1"/>
    <col min="13" max="13" width="9.5546875" customWidth="1"/>
    <col min="14" max="15" width="7.5546875" customWidth="1"/>
    <col min="19" max="19" width="17.44140625" bestFit="1" customWidth="1"/>
  </cols>
  <sheetData>
    <row r="1" spans="1:15" ht="13.8" x14ac:dyDescent="0.25">
      <c r="A1" s="23" t="s">
        <v>142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  <c r="M1" s="24"/>
      <c r="N1" s="24"/>
      <c r="O1" s="24"/>
    </row>
    <row r="2" spans="1:15" ht="13.8" x14ac:dyDescent="0.25">
      <c r="A2" s="24"/>
      <c r="B2" s="171" t="s">
        <v>0</v>
      </c>
      <c r="C2" s="171"/>
      <c r="D2" s="171"/>
      <c r="E2" s="171"/>
      <c r="F2" s="65"/>
      <c r="G2" s="171" t="s">
        <v>17</v>
      </c>
      <c r="H2" s="171"/>
      <c r="I2" s="171"/>
      <c r="J2" s="171"/>
      <c r="K2" s="65"/>
      <c r="L2" s="24"/>
      <c r="M2" s="24"/>
      <c r="N2" s="24"/>
      <c r="O2" s="24"/>
    </row>
    <row r="3" spans="1:15" ht="13.8" x14ac:dyDescent="0.25">
      <c r="A3" s="24" t="s">
        <v>64</v>
      </c>
      <c r="B3" s="28" t="s">
        <v>28</v>
      </c>
      <c r="C3" s="28"/>
      <c r="D3" s="28"/>
      <c r="E3" s="28"/>
      <c r="F3" s="66"/>
      <c r="G3" s="28"/>
      <c r="H3" s="28"/>
      <c r="I3" s="28"/>
      <c r="J3" s="28"/>
      <c r="K3" s="26" t="s">
        <v>26</v>
      </c>
      <c r="L3" s="24"/>
      <c r="M3" s="24"/>
      <c r="N3" s="24"/>
      <c r="O3" s="24"/>
    </row>
    <row r="4" spans="1:15" ht="13.8" x14ac:dyDescent="0.25">
      <c r="A4" s="29" t="s">
        <v>66</v>
      </c>
      <c r="B4" s="31" t="s">
        <v>42</v>
      </c>
      <c r="C4" s="67" t="s">
        <v>1</v>
      </c>
      <c r="D4" s="33" t="s">
        <v>29</v>
      </c>
      <c r="E4" s="31" t="s">
        <v>73</v>
      </c>
      <c r="F4" s="32"/>
      <c r="G4" s="31" t="s">
        <v>32</v>
      </c>
      <c r="H4" s="31" t="s">
        <v>4</v>
      </c>
      <c r="I4" s="31" t="s">
        <v>33</v>
      </c>
      <c r="J4" s="31" t="s">
        <v>30</v>
      </c>
      <c r="K4" s="31" t="s">
        <v>25</v>
      </c>
      <c r="L4" s="24"/>
      <c r="M4" s="24"/>
      <c r="N4" s="24"/>
      <c r="O4" s="24"/>
    </row>
    <row r="5" spans="1:15" ht="14.4" x14ac:dyDescent="0.3">
      <c r="A5" s="24"/>
      <c r="B5" s="172" t="s">
        <v>14</v>
      </c>
      <c r="C5" s="172"/>
      <c r="D5" s="172"/>
      <c r="E5" s="172"/>
      <c r="F5" s="172"/>
      <c r="G5" s="172"/>
      <c r="H5" s="172"/>
      <c r="I5" s="172"/>
      <c r="J5" s="172"/>
      <c r="K5" s="172"/>
      <c r="L5" s="24"/>
      <c r="M5" s="24"/>
      <c r="N5" s="24"/>
      <c r="O5" s="24"/>
    </row>
    <row r="6" spans="1:15" ht="13.8" x14ac:dyDescent="0.25">
      <c r="A6" s="24" t="s">
        <v>120</v>
      </c>
      <c r="B6" s="68">
        <v>477</v>
      </c>
      <c r="C6" s="68">
        <v>5945</v>
      </c>
      <c r="D6" s="69">
        <v>1.0880000000000001</v>
      </c>
      <c r="E6" s="68">
        <v>6423.0879999999997</v>
      </c>
      <c r="F6" s="39"/>
      <c r="G6" s="68">
        <v>1712.0099999999998</v>
      </c>
      <c r="H6" s="70">
        <v>340.67500000000001</v>
      </c>
      <c r="I6" s="68">
        <v>3914.4029999999993</v>
      </c>
      <c r="J6" s="68">
        <v>5967.0879999999997</v>
      </c>
      <c r="K6" s="68">
        <v>456</v>
      </c>
      <c r="L6" s="24"/>
      <c r="M6" s="24"/>
      <c r="N6" s="24"/>
      <c r="O6" s="24"/>
    </row>
    <row r="7" spans="1:15" ht="16.2" x14ac:dyDescent="0.25">
      <c r="A7" s="27" t="s">
        <v>123</v>
      </c>
      <c r="B7" s="75">
        <f>K6</f>
        <v>456</v>
      </c>
      <c r="C7" s="75">
        <v>4509</v>
      </c>
      <c r="D7" s="134">
        <v>5</v>
      </c>
      <c r="E7" s="75">
        <f>B7+C7+D7</f>
        <v>4970</v>
      </c>
      <c r="F7" s="76"/>
      <c r="G7" s="75">
        <v>1600</v>
      </c>
      <c r="H7" s="78">
        <v>300</v>
      </c>
      <c r="I7" s="75">
        <f>J7-G7-H7</f>
        <v>2711.0208999999995</v>
      </c>
      <c r="J7" s="75">
        <f>E7-K7</f>
        <v>4611.0208999999995</v>
      </c>
      <c r="K7" s="75">
        <v>358.97910000000002</v>
      </c>
      <c r="L7" s="24"/>
      <c r="M7" s="24"/>
      <c r="N7" s="24"/>
      <c r="O7" s="24"/>
    </row>
    <row r="8" spans="1:15" ht="16.2" x14ac:dyDescent="0.25">
      <c r="A8" s="23" t="s">
        <v>155</v>
      </c>
      <c r="B8" s="71">
        <f>K7</f>
        <v>358.97910000000002</v>
      </c>
      <c r="C8" s="71">
        <v>5370</v>
      </c>
      <c r="D8" s="72">
        <v>25</v>
      </c>
      <c r="E8" s="71">
        <f>B8+C8+D8</f>
        <v>5753.9791000000005</v>
      </c>
      <c r="F8" s="73"/>
      <c r="G8" s="71">
        <v>1725</v>
      </c>
      <c r="H8" s="74">
        <v>400</v>
      </c>
      <c r="I8" s="71">
        <f>J8-G8-H8</f>
        <v>3222</v>
      </c>
      <c r="J8" s="71">
        <f>E8-K8</f>
        <v>5347</v>
      </c>
      <c r="K8" s="71">
        <v>406.97910000000002</v>
      </c>
      <c r="L8" s="24"/>
      <c r="M8" s="24"/>
      <c r="N8" s="24"/>
      <c r="O8" s="24"/>
    </row>
    <row r="9" spans="1:15" ht="16.2" x14ac:dyDescent="0.25">
      <c r="A9" s="62" t="s">
        <v>97</v>
      </c>
      <c r="B9" s="24"/>
      <c r="C9" s="39"/>
      <c r="D9" s="39"/>
      <c r="E9" s="39"/>
      <c r="F9" s="39"/>
      <c r="G9" s="120"/>
      <c r="H9" s="39"/>
      <c r="I9" s="39"/>
      <c r="J9" s="39"/>
      <c r="K9" s="24"/>
      <c r="L9" s="24"/>
      <c r="M9" s="24"/>
      <c r="N9" s="24"/>
      <c r="O9" s="24"/>
    </row>
    <row r="10" spans="1:15" ht="14.4" x14ac:dyDescent="0.3">
      <c r="A10" s="24" t="s">
        <v>153</v>
      </c>
      <c r="B10" s="40"/>
      <c r="C10" s="44"/>
      <c r="D10" s="24"/>
      <c r="E10" s="40"/>
      <c r="F10" s="40"/>
      <c r="G10" s="40"/>
      <c r="H10" s="40"/>
      <c r="I10" s="40"/>
      <c r="J10" s="40"/>
      <c r="K10" s="24"/>
      <c r="L10" s="24"/>
      <c r="M10" s="24"/>
      <c r="N10" s="24"/>
      <c r="O10" s="24"/>
    </row>
    <row r="11" spans="1:15" ht="14.4" x14ac:dyDescent="0.3">
      <c r="A11" s="24" t="s">
        <v>124</v>
      </c>
      <c r="B11" s="40"/>
      <c r="C11" s="44"/>
      <c r="D11" s="24"/>
      <c r="E11" s="40"/>
      <c r="F11" s="40"/>
      <c r="G11" s="40"/>
      <c r="H11" s="40"/>
      <c r="I11" s="40"/>
      <c r="J11" s="40"/>
      <c r="K11" s="24"/>
      <c r="L11" s="24"/>
      <c r="M11" s="24"/>
      <c r="N11" s="24"/>
      <c r="O11" s="24"/>
    </row>
    <row r="12" spans="1:15" ht="13.8" x14ac:dyDescent="0.25">
      <c r="A12" s="24"/>
      <c r="B12" s="40"/>
      <c r="C12" s="44"/>
      <c r="D12" s="24"/>
      <c r="E12" s="40"/>
      <c r="F12" s="40"/>
      <c r="G12" s="40"/>
      <c r="H12" s="40"/>
      <c r="I12" s="40"/>
      <c r="J12" s="40"/>
      <c r="K12" s="24"/>
      <c r="L12" s="24"/>
      <c r="M12" s="24"/>
      <c r="N12" s="24"/>
      <c r="O12" s="24"/>
    </row>
    <row r="13" spans="1:15" ht="13.8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ht="13.8" x14ac:dyDescent="0.25">
      <c r="A14" s="23" t="s">
        <v>143</v>
      </c>
      <c r="B14" s="23"/>
      <c r="C14" s="23"/>
      <c r="D14" s="23"/>
      <c r="E14" s="23"/>
      <c r="F14" s="23"/>
      <c r="G14" s="23"/>
      <c r="H14" s="23"/>
      <c r="I14" s="24"/>
      <c r="J14" s="23"/>
      <c r="K14" s="24"/>
      <c r="L14" s="24"/>
      <c r="M14" s="24"/>
      <c r="N14" s="24"/>
      <c r="O14" s="24"/>
    </row>
    <row r="15" spans="1:15" ht="13.8" x14ac:dyDescent="0.25">
      <c r="A15" s="24"/>
      <c r="B15" s="171" t="s">
        <v>0</v>
      </c>
      <c r="C15" s="171"/>
      <c r="D15" s="171"/>
      <c r="E15" s="171"/>
      <c r="F15" s="24"/>
      <c r="G15" s="171" t="s">
        <v>17</v>
      </c>
      <c r="H15" s="171"/>
      <c r="I15" s="171"/>
      <c r="J15" s="24"/>
      <c r="K15" s="24"/>
      <c r="L15" s="24"/>
      <c r="M15" s="24"/>
      <c r="N15" s="24"/>
      <c r="O15" s="24"/>
    </row>
    <row r="16" spans="1:15" ht="13.8" x14ac:dyDescent="0.25">
      <c r="A16" s="24" t="s">
        <v>64</v>
      </c>
      <c r="B16" s="26" t="s">
        <v>28</v>
      </c>
      <c r="C16" s="28"/>
      <c r="D16" s="28"/>
      <c r="E16" s="28"/>
      <c r="F16" s="28"/>
      <c r="G16" s="28"/>
      <c r="H16" s="28"/>
      <c r="I16" s="28"/>
      <c r="J16" s="26" t="s">
        <v>26</v>
      </c>
      <c r="K16" s="24"/>
      <c r="L16" s="24"/>
      <c r="M16" s="24"/>
      <c r="N16" s="24"/>
      <c r="O16" s="24"/>
    </row>
    <row r="17" spans="1:15" ht="13.8" x14ac:dyDescent="0.25">
      <c r="A17" s="29" t="s">
        <v>65</v>
      </c>
      <c r="B17" s="31" t="s">
        <v>25</v>
      </c>
      <c r="C17" s="67" t="s">
        <v>1</v>
      </c>
      <c r="D17" s="33" t="s">
        <v>29</v>
      </c>
      <c r="E17" s="31" t="s">
        <v>30</v>
      </c>
      <c r="F17" s="32"/>
      <c r="G17" s="75" t="s">
        <v>9</v>
      </c>
      <c r="H17" s="31" t="s">
        <v>4</v>
      </c>
      <c r="I17" s="33" t="s">
        <v>24</v>
      </c>
      <c r="J17" s="31" t="s">
        <v>25</v>
      </c>
      <c r="K17" s="24"/>
      <c r="L17" s="24"/>
      <c r="M17" s="24"/>
      <c r="N17" s="24"/>
      <c r="O17" s="24"/>
    </row>
    <row r="18" spans="1:15" ht="14.4" x14ac:dyDescent="0.3">
      <c r="A18" s="24"/>
      <c r="B18" s="172" t="s">
        <v>15</v>
      </c>
      <c r="C18" s="172"/>
      <c r="D18" s="172"/>
      <c r="E18" s="172"/>
      <c r="F18" s="172"/>
      <c r="G18" s="172"/>
      <c r="H18" s="172"/>
      <c r="I18" s="172"/>
      <c r="J18" s="172"/>
      <c r="K18" s="24"/>
      <c r="L18" s="24"/>
      <c r="M18" s="24"/>
      <c r="N18" s="24"/>
      <c r="O18" s="24"/>
    </row>
    <row r="19" spans="1:15" ht="13.8" x14ac:dyDescent="0.25">
      <c r="A19" s="24" t="s">
        <v>120</v>
      </c>
      <c r="B19" s="68">
        <v>43</v>
      </c>
      <c r="C19" s="70">
        <v>779.976</v>
      </c>
      <c r="D19" s="69">
        <v>0</v>
      </c>
      <c r="E19" s="70">
        <v>822.976</v>
      </c>
      <c r="F19" s="24"/>
      <c r="G19" s="70">
        <v>688.53899999999999</v>
      </c>
      <c r="H19" s="70">
        <v>109.565</v>
      </c>
      <c r="I19" s="70">
        <v>798.10400000000004</v>
      </c>
      <c r="J19" s="68">
        <v>24.872</v>
      </c>
      <c r="K19" s="24"/>
      <c r="L19" s="24"/>
      <c r="M19" s="24"/>
      <c r="N19" s="24"/>
      <c r="O19" s="24"/>
    </row>
    <row r="20" spans="1:15" ht="16.2" x14ac:dyDescent="0.25">
      <c r="A20" s="27" t="s">
        <v>123</v>
      </c>
      <c r="B20" s="75">
        <v>25</v>
      </c>
      <c r="C20" s="78">
        <v>705</v>
      </c>
      <c r="D20" s="134">
        <v>0</v>
      </c>
      <c r="E20" s="78">
        <f>B20+C20+D20</f>
        <v>730</v>
      </c>
      <c r="F20" s="76"/>
      <c r="G20" s="78">
        <v>630</v>
      </c>
      <c r="H20" s="78">
        <v>75</v>
      </c>
      <c r="I20" s="78">
        <f>SUM(G20:H20)</f>
        <v>705</v>
      </c>
      <c r="J20" s="75">
        <v>25</v>
      </c>
      <c r="K20" s="24"/>
      <c r="L20" s="24"/>
      <c r="M20" s="24"/>
      <c r="N20" s="24"/>
      <c r="O20" s="24"/>
    </row>
    <row r="21" spans="1:15" ht="16.2" x14ac:dyDescent="0.25">
      <c r="A21" s="23" t="s">
        <v>155</v>
      </c>
      <c r="B21" s="71">
        <v>25</v>
      </c>
      <c r="C21" s="74">
        <v>775</v>
      </c>
      <c r="D21" s="72">
        <v>0</v>
      </c>
      <c r="E21" s="74">
        <f>B21+C21+D21</f>
        <v>800</v>
      </c>
      <c r="F21" s="73"/>
      <c r="G21" s="74">
        <v>700</v>
      </c>
      <c r="H21" s="74">
        <v>75</v>
      </c>
      <c r="I21" s="74">
        <f>SUM(G21:H21)</f>
        <v>775</v>
      </c>
      <c r="J21" s="71">
        <v>25</v>
      </c>
      <c r="K21" s="24"/>
      <c r="L21" s="24"/>
      <c r="M21" s="24"/>
      <c r="N21" s="24"/>
      <c r="O21" s="24"/>
    </row>
    <row r="22" spans="1:15" ht="16.2" x14ac:dyDescent="0.25">
      <c r="A22" s="62" t="s">
        <v>97</v>
      </c>
      <c r="B22" s="24"/>
      <c r="C22" s="39"/>
      <c r="D22" s="39"/>
      <c r="E22" s="39"/>
      <c r="F22" s="39"/>
      <c r="G22" s="39"/>
      <c r="H22" s="39"/>
      <c r="I22" s="24"/>
      <c r="J22" s="24"/>
      <c r="K22" s="24"/>
      <c r="L22" s="24"/>
      <c r="M22" s="24"/>
      <c r="N22" s="24"/>
      <c r="O22" s="24"/>
    </row>
    <row r="23" spans="1:15" ht="14.4" x14ac:dyDescent="0.3">
      <c r="A23" s="24" t="s">
        <v>192</v>
      </c>
      <c r="B23" s="76"/>
      <c r="C23" s="76"/>
      <c r="D23" s="76"/>
      <c r="E23" s="76"/>
      <c r="F23" s="76"/>
      <c r="G23" s="76"/>
      <c r="H23" s="76"/>
      <c r="I23" s="24"/>
      <c r="J23" s="24"/>
      <c r="K23" s="24"/>
      <c r="L23" s="24"/>
      <c r="M23" s="24"/>
      <c r="N23" s="24"/>
      <c r="O23" s="24"/>
    </row>
    <row r="24" spans="1:15" ht="13.8" x14ac:dyDescent="0.25">
      <c r="A24" s="27"/>
      <c r="B24" s="40"/>
      <c r="C24" s="40"/>
      <c r="D24" s="40"/>
      <c r="E24" s="40"/>
      <c r="F24" s="40"/>
      <c r="G24" s="40"/>
      <c r="H24" s="40"/>
      <c r="I24" s="24"/>
      <c r="J24" s="24"/>
      <c r="K24" s="24"/>
      <c r="L24" s="24"/>
      <c r="M24" s="24"/>
      <c r="N24" s="24"/>
      <c r="O24" s="24"/>
    </row>
    <row r="25" spans="1:15" ht="13.8" x14ac:dyDescent="0.25">
      <c r="A25" s="27"/>
      <c r="B25" s="40"/>
      <c r="C25" s="44"/>
      <c r="D25" s="40"/>
      <c r="E25" s="40"/>
      <c r="F25" s="40"/>
      <c r="G25" s="40"/>
      <c r="H25" s="40"/>
      <c r="I25" s="24"/>
      <c r="J25" s="24"/>
      <c r="K25" s="24"/>
      <c r="L25" s="24"/>
      <c r="M25" s="24"/>
      <c r="N25" s="24"/>
      <c r="O25" s="24"/>
    </row>
    <row r="26" spans="1:15" ht="13.8" x14ac:dyDescent="0.25">
      <c r="A26" s="23" t="s">
        <v>144</v>
      </c>
      <c r="B26" s="23"/>
      <c r="C26" s="23"/>
      <c r="D26" s="23"/>
      <c r="E26" s="23"/>
      <c r="F26" s="23"/>
      <c r="G26" s="23"/>
      <c r="H26" s="23"/>
      <c r="I26" s="24"/>
      <c r="J26" s="23"/>
      <c r="K26" s="24"/>
      <c r="L26" s="24"/>
      <c r="M26" s="24"/>
      <c r="N26" s="24"/>
      <c r="O26" s="24"/>
    </row>
    <row r="27" spans="1:15" ht="13.8" x14ac:dyDescent="0.25">
      <c r="A27" s="24"/>
      <c r="B27" s="171" t="s">
        <v>0</v>
      </c>
      <c r="C27" s="171"/>
      <c r="D27" s="171"/>
      <c r="E27" s="171"/>
      <c r="F27" s="24"/>
      <c r="G27" s="171" t="s">
        <v>17</v>
      </c>
      <c r="H27" s="171"/>
      <c r="I27" s="171"/>
      <c r="J27" s="24"/>
      <c r="K27" s="24"/>
      <c r="L27" s="24"/>
      <c r="M27" s="24"/>
      <c r="N27" s="24"/>
      <c r="O27" s="24"/>
    </row>
    <row r="28" spans="1:15" ht="13.8" x14ac:dyDescent="0.25">
      <c r="A28" s="24" t="s">
        <v>64</v>
      </c>
      <c r="B28" s="26" t="s">
        <v>28</v>
      </c>
      <c r="C28" s="28"/>
      <c r="D28" s="28"/>
      <c r="E28" s="28"/>
      <c r="F28" s="28"/>
      <c r="G28" s="28"/>
      <c r="H28" s="28"/>
      <c r="I28" s="28"/>
      <c r="J28" s="26" t="s">
        <v>26</v>
      </c>
      <c r="K28" s="24"/>
      <c r="L28" s="24"/>
      <c r="M28" s="24"/>
      <c r="N28" s="24"/>
      <c r="O28" s="24"/>
    </row>
    <row r="29" spans="1:15" ht="13.8" x14ac:dyDescent="0.25">
      <c r="A29" s="29" t="s">
        <v>65</v>
      </c>
      <c r="B29" s="31" t="s">
        <v>25</v>
      </c>
      <c r="C29" s="31" t="s">
        <v>1</v>
      </c>
      <c r="D29" s="33" t="s">
        <v>29</v>
      </c>
      <c r="E29" s="31" t="s">
        <v>30</v>
      </c>
      <c r="F29" s="32"/>
      <c r="G29" s="31" t="s">
        <v>27</v>
      </c>
      <c r="H29" s="31" t="s">
        <v>4</v>
      </c>
      <c r="I29" s="31" t="s">
        <v>24</v>
      </c>
      <c r="J29" s="31" t="s">
        <v>74</v>
      </c>
      <c r="K29" s="24"/>
      <c r="L29" s="24"/>
      <c r="M29" s="24"/>
      <c r="N29" s="24"/>
      <c r="O29" s="24"/>
    </row>
    <row r="30" spans="1:15" ht="14.4" x14ac:dyDescent="0.3">
      <c r="A30" s="24"/>
      <c r="B30" s="172" t="s">
        <v>157</v>
      </c>
      <c r="C30" s="172"/>
      <c r="D30" s="172"/>
      <c r="E30" s="172"/>
      <c r="F30" s="172"/>
      <c r="G30" s="172"/>
      <c r="H30" s="172"/>
      <c r="I30" s="172"/>
      <c r="J30" s="172"/>
      <c r="K30" s="24"/>
      <c r="L30" s="24"/>
      <c r="M30" s="24"/>
      <c r="N30" s="24"/>
      <c r="O30" s="24"/>
    </row>
    <row r="31" spans="1:15" ht="13.8" x14ac:dyDescent="0.25">
      <c r="A31" s="24" t="s">
        <v>120</v>
      </c>
      <c r="B31" s="69">
        <v>35.040999999999997</v>
      </c>
      <c r="C31" s="70">
        <v>481.34800000000001</v>
      </c>
      <c r="D31" s="69">
        <v>0.26666000000000001</v>
      </c>
      <c r="E31" s="77">
        <v>516.65566000000001</v>
      </c>
      <c r="F31" s="24"/>
      <c r="G31" s="70">
        <v>388.20186000000001</v>
      </c>
      <c r="H31" s="70">
        <v>83.915800000000004</v>
      </c>
      <c r="I31" s="70">
        <v>472.11766</v>
      </c>
      <c r="J31" s="78">
        <v>44.537999999999997</v>
      </c>
      <c r="K31" s="24"/>
      <c r="L31" s="24"/>
      <c r="M31" s="24"/>
      <c r="N31" s="24"/>
      <c r="O31" s="24"/>
    </row>
    <row r="32" spans="1:15" ht="16.2" x14ac:dyDescent="0.25">
      <c r="A32" s="27" t="s">
        <v>123</v>
      </c>
      <c r="B32" s="134">
        <f>J31</f>
        <v>44.537999999999997</v>
      </c>
      <c r="C32" s="78">
        <v>440</v>
      </c>
      <c r="D32" s="134">
        <v>5</v>
      </c>
      <c r="E32" s="135">
        <f>B32+C32+D32</f>
        <v>489.53800000000001</v>
      </c>
      <c r="F32" s="76"/>
      <c r="G32" s="78">
        <f>I32-H32</f>
        <v>379.53800000000001</v>
      </c>
      <c r="H32" s="78">
        <v>65</v>
      </c>
      <c r="I32" s="78">
        <f>E32-J32</f>
        <v>444.53800000000001</v>
      </c>
      <c r="J32" s="78">
        <v>45</v>
      </c>
      <c r="K32" s="24"/>
      <c r="L32" s="24"/>
      <c r="M32" s="24"/>
      <c r="N32" s="24"/>
      <c r="O32" s="24"/>
    </row>
    <row r="33" spans="1:15" ht="16.2" x14ac:dyDescent="0.25">
      <c r="A33" s="23" t="s">
        <v>155</v>
      </c>
      <c r="B33" s="72">
        <f>J32</f>
        <v>45</v>
      </c>
      <c r="C33" s="74">
        <v>485</v>
      </c>
      <c r="D33" s="72">
        <v>5</v>
      </c>
      <c r="E33" s="79">
        <f>B33+C33+D33</f>
        <v>535</v>
      </c>
      <c r="F33" s="73"/>
      <c r="G33" s="74">
        <f>I33-H33</f>
        <v>424</v>
      </c>
      <c r="H33" s="74">
        <v>66</v>
      </c>
      <c r="I33" s="74">
        <f>E33-J33</f>
        <v>490</v>
      </c>
      <c r="J33" s="74">
        <v>45</v>
      </c>
      <c r="K33" s="24"/>
      <c r="L33" s="24"/>
      <c r="M33" s="24"/>
      <c r="N33" s="24"/>
      <c r="O33" s="24"/>
    </row>
    <row r="34" spans="1:15" ht="16.2" x14ac:dyDescent="0.25">
      <c r="A34" s="62" t="s">
        <v>97</v>
      </c>
      <c r="B34" s="24"/>
      <c r="C34" s="39"/>
      <c r="D34" s="39"/>
      <c r="E34" s="39"/>
      <c r="F34" s="39"/>
      <c r="G34" s="39"/>
      <c r="H34" s="39"/>
      <c r="I34" s="24"/>
      <c r="J34" s="24"/>
      <c r="K34" s="24"/>
      <c r="L34" s="24"/>
      <c r="M34" s="24"/>
      <c r="N34" s="24"/>
      <c r="O34" s="24"/>
    </row>
    <row r="35" spans="1:15" ht="14.4" x14ac:dyDescent="0.3">
      <c r="A35" s="24" t="s">
        <v>192</v>
      </c>
      <c r="B35" s="40"/>
      <c r="C35" s="44"/>
      <c r="D35" s="40"/>
      <c r="E35" s="40"/>
      <c r="F35" s="40"/>
      <c r="G35" s="40"/>
      <c r="H35" s="40"/>
      <c r="I35" s="24"/>
      <c r="J35" s="24"/>
      <c r="K35" s="24"/>
      <c r="L35" s="24"/>
      <c r="M35" s="24"/>
      <c r="N35" s="24"/>
      <c r="O35" s="24"/>
    </row>
    <row r="36" spans="1:15" ht="13.8" x14ac:dyDescent="0.25">
      <c r="A36" s="27"/>
      <c r="B36" s="27"/>
      <c r="C36" s="27"/>
      <c r="D36" s="27"/>
      <c r="E36" s="27"/>
      <c r="F36" s="27"/>
      <c r="G36" s="27"/>
      <c r="H36" s="27"/>
      <c r="I36" s="24"/>
      <c r="J36" s="24"/>
      <c r="K36" s="24"/>
      <c r="L36" s="24"/>
      <c r="M36" s="24"/>
      <c r="N36" s="24"/>
      <c r="O36" s="24"/>
    </row>
    <row r="37" spans="1:15" ht="13.8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ht="13.8" x14ac:dyDescent="0.25">
      <c r="A38" s="23" t="s">
        <v>145</v>
      </c>
      <c r="B38" s="23"/>
      <c r="C38" s="23"/>
      <c r="D38" s="23"/>
      <c r="E38" s="23"/>
      <c r="F38" s="23"/>
      <c r="G38" s="23"/>
      <c r="H38" s="23"/>
      <c r="I38" s="23"/>
      <c r="J38" s="24"/>
      <c r="K38" s="24"/>
      <c r="L38" s="24"/>
      <c r="M38" s="24"/>
      <c r="N38" s="24"/>
      <c r="O38" s="24"/>
    </row>
    <row r="39" spans="1:15" ht="13.8" x14ac:dyDescent="0.25">
      <c r="A39" s="24"/>
      <c r="B39" s="171" t="s">
        <v>19</v>
      </c>
      <c r="C39" s="171"/>
      <c r="D39" s="26" t="s">
        <v>22</v>
      </c>
      <c r="E39" s="171" t="s">
        <v>70</v>
      </c>
      <c r="F39" s="171"/>
      <c r="G39" s="171"/>
      <c r="H39" s="171"/>
      <c r="I39" s="24"/>
      <c r="J39" s="132" t="s">
        <v>17</v>
      </c>
      <c r="K39" s="132"/>
      <c r="L39" s="132"/>
      <c r="M39" s="132"/>
      <c r="N39" s="132"/>
      <c r="O39" s="24"/>
    </row>
    <row r="40" spans="1:15" ht="13.8" x14ac:dyDescent="0.25">
      <c r="A40" s="24" t="s">
        <v>64</v>
      </c>
      <c r="B40" s="26" t="s">
        <v>20</v>
      </c>
      <c r="C40" s="26" t="s">
        <v>21</v>
      </c>
      <c r="D40" s="24"/>
      <c r="E40" s="26" t="s">
        <v>28</v>
      </c>
      <c r="F40" s="26"/>
      <c r="G40" s="26"/>
      <c r="H40" s="26"/>
      <c r="I40" s="24"/>
      <c r="J40" s="118" t="s">
        <v>9</v>
      </c>
      <c r="K40" s="26"/>
      <c r="L40" s="26" t="s">
        <v>76</v>
      </c>
      <c r="M40" s="26"/>
      <c r="N40" s="26"/>
      <c r="O40" s="26" t="s">
        <v>26</v>
      </c>
    </row>
    <row r="41" spans="1:15" ht="13.8" x14ac:dyDescent="0.25">
      <c r="A41" s="29" t="s">
        <v>66</v>
      </c>
      <c r="B41" s="30"/>
      <c r="C41" s="30"/>
      <c r="D41" s="30"/>
      <c r="E41" s="31" t="s">
        <v>25</v>
      </c>
      <c r="F41" s="31" t="s">
        <v>1</v>
      </c>
      <c r="G41" s="31" t="s">
        <v>29</v>
      </c>
      <c r="H41" s="31" t="s">
        <v>30</v>
      </c>
      <c r="I41" s="31"/>
      <c r="J41" s="31" t="s">
        <v>34</v>
      </c>
      <c r="K41" s="31" t="s">
        <v>32</v>
      </c>
      <c r="L41" s="31" t="s">
        <v>5</v>
      </c>
      <c r="M41" s="33" t="s">
        <v>4</v>
      </c>
      <c r="N41" s="31" t="s">
        <v>24</v>
      </c>
      <c r="O41" s="31" t="s">
        <v>74</v>
      </c>
    </row>
    <row r="42" spans="1:15" ht="14.4" x14ac:dyDescent="0.3">
      <c r="A42" s="24"/>
      <c r="B42" s="173" t="s">
        <v>72</v>
      </c>
      <c r="C42" s="172"/>
      <c r="D42" s="80" t="s">
        <v>60</v>
      </c>
      <c r="E42" s="133" t="s">
        <v>16</v>
      </c>
      <c r="F42" s="133"/>
      <c r="G42" s="133"/>
      <c r="H42" s="133"/>
      <c r="I42" s="133"/>
      <c r="J42" s="133"/>
      <c r="K42" s="133"/>
      <c r="L42" s="133"/>
      <c r="M42" s="133"/>
      <c r="N42" s="133"/>
      <c r="O42" s="133"/>
    </row>
    <row r="43" spans="1:15" ht="13.8" x14ac:dyDescent="0.25">
      <c r="A43" s="24"/>
      <c r="B43" s="26"/>
      <c r="C43" s="26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ht="13.8" x14ac:dyDescent="0.25">
      <c r="A44" s="24" t="s">
        <v>120</v>
      </c>
      <c r="B44" s="68">
        <v>1432.7</v>
      </c>
      <c r="C44" s="68">
        <v>1389.7</v>
      </c>
      <c r="D44" s="68">
        <v>3933.5734331150607</v>
      </c>
      <c r="E44" s="68">
        <v>2421.09</v>
      </c>
      <c r="F44" s="68">
        <v>5466.4870000000001</v>
      </c>
      <c r="G44" s="78">
        <v>113.761</v>
      </c>
      <c r="H44" s="68">
        <v>8001.3380000000006</v>
      </c>
      <c r="I44" s="68"/>
      <c r="J44" s="68">
        <v>3221</v>
      </c>
      <c r="K44" s="68">
        <v>773.977124</v>
      </c>
      <c r="L44" s="70">
        <v>287.33884758693694</v>
      </c>
      <c r="M44" s="70">
        <v>1607.5340284130634</v>
      </c>
      <c r="N44" s="68">
        <v>5883.1500000000005</v>
      </c>
      <c r="O44" s="68">
        <v>2118.1880000000001</v>
      </c>
    </row>
    <row r="45" spans="1:15" ht="16.2" x14ac:dyDescent="0.25">
      <c r="A45" s="27" t="s">
        <v>123</v>
      </c>
      <c r="B45" s="75">
        <v>1664.2</v>
      </c>
      <c r="C45" s="75">
        <v>1615.8</v>
      </c>
      <c r="D45" s="75">
        <f>F45*1000/C45</f>
        <v>3796.2000247555393</v>
      </c>
      <c r="E45" s="75">
        <f>O44</f>
        <v>2118.1880000000001</v>
      </c>
      <c r="F45" s="75">
        <v>6133.9</v>
      </c>
      <c r="G45" s="78">
        <v>115</v>
      </c>
      <c r="H45" s="75">
        <f>SUM(E45:G45)</f>
        <v>8367.0879999999997</v>
      </c>
      <c r="I45" s="75"/>
      <c r="J45" s="75">
        <v>3338</v>
      </c>
      <c r="K45" s="75">
        <v>850</v>
      </c>
      <c r="L45" s="78">
        <f>N45-J45-K45-M45</f>
        <v>580.6880000000001</v>
      </c>
      <c r="M45" s="78">
        <v>1500</v>
      </c>
      <c r="N45" s="75">
        <f>H45-O45</f>
        <v>6268.6880000000001</v>
      </c>
      <c r="O45" s="75">
        <v>2098.4</v>
      </c>
    </row>
    <row r="46" spans="1:15" ht="16.2" x14ac:dyDescent="0.25">
      <c r="A46" s="23" t="s">
        <v>155</v>
      </c>
      <c r="B46" s="71">
        <v>1626</v>
      </c>
      <c r="C46" s="71">
        <v>1560</v>
      </c>
      <c r="D46" s="71">
        <v>4050</v>
      </c>
      <c r="E46" s="71">
        <f>O45</f>
        <v>2098.4</v>
      </c>
      <c r="F46" s="71">
        <v>6320</v>
      </c>
      <c r="G46" s="74">
        <v>115</v>
      </c>
      <c r="H46" s="71">
        <f>SUM(E46:G46)</f>
        <v>8533.4</v>
      </c>
      <c r="I46" s="71"/>
      <c r="J46" s="71">
        <v>3391</v>
      </c>
      <c r="K46" s="71">
        <v>850</v>
      </c>
      <c r="L46" s="74">
        <v>666</v>
      </c>
      <c r="M46" s="74">
        <v>1500</v>
      </c>
      <c r="N46" s="71">
        <f>H46-O46</f>
        <v>6406.9969999999994</v>
      </c>
      <c r="O46" s="71">
        <v>2126.4029999999998</v>
      </c>
    </row>
    <row r="47" spans="1:15" ht="16.2" x14ac:dyDescent="0.25">
      <c r="A47" s="62" t="s">
        <v>97</v>
      </c>
      <c r="B47" s="24"/>
      <c r="C47" s="39"/>
      <c r="D47" s="39"/>
      <c r="E47" s="39"/>
      <c r="F47" s="39"/>
      <c r="G47" s="39"/>
      <c r="H47" s="39"/>
      <c r="I47" s="24"/>
      <c r="J47" s="24"/>
      <c r="K47" s="24"/>
      <c r="L47" s="24"/>
      <c r="M47" s="24"/>
      <c r="N47" s="24"/>
      <c r="O47" s="24"/>
    </row>
    <row r="48" spans="1:15" ht="14.4" x14ac:dyDescent="0.3">
      <c r="A48" s="24" t="s">
        <v>154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t="14.4" x14ac:dyDescent="0.3">
      <c r="A49" s="24" t="s">
        <v>124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ht="13.8" x14ac:dyDescent="0.25">
      <c r="A50" s="28" t="s">
        <v>18</v>
      </c>
      <c r="B50" s="119">
        <f ca="1">NOW()</f>
        <v>44368.339088773151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ht="44.4" customHeight="1" x14ac:dyDescent="0.25">
      <c r="A51" s="143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</row>
    <row r="52" spans="1:15" ht="15.6" x14ac:dyDescent="0.3">
      <c r="G52" s="12"/>
      <c r="H52" s="12"/>
    </row>
    <row r="53" spans="1:15" ht="15.6" x14ac:dyDescent="0.3">
      <c r="G53" s="12"/>
      <c r="H53" s="12"/>
    </row>
    <row r="54" spans="1:15" ht="15.6" x14ac:dyDescent="0.3">
      <c r="G54" s="12"/>
      <c r="H54" s="12"/>
    </row>
  </sheetData>
  <mergeCells count="12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</mergeCells>
  <phoneticPr fontId="6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K45"/>
  <sheetViews>
    <sheetView showGridLines="0" zoomScaleNormal="100" workbookViewId="0">
      <selection activeCell="H8" sqref="H8"/>
    </sheetView>
  </sheetViews>
  <sheetFormatPr defaultRowHeight="13.2" x14ac:dyDescent="0.25"/>
  <cols>
    <col min="1" max="1" width="11.77734375" customWidth="1"/>
    <col min="2" max="2" width="18.88671875" bestFit="1" customWidth="1"/>
    <col min="3" max="3" width="22.109375" bestFit="1" customWidth="1"/>
    <col min="4" max="5" width="25.77734375" bestFit="1" customWidth="1"/>
    <col min="6" max="6" width="16.6640625" bestFit="1" customWidth="1"/>
    <col min="7" max="7" width="18.88671875" bestFit="1" customWidth="1"/>
    <col min="9" max="9" width="20.21875" bestFit="1" customWidth="1"/>
  </cols>
  <sheetData>
    <row r="1" spans="1:11" ht="15.6" customHeight="1" x14ac:dyDescent="0.25">
      <c r="A1" s="23" t="s">
        <v>146</v>
      </c>
      <c r="B1" s="23"/>
      <c r="C1" s="23"/>
      <c r="D1" s="23"/>
      <c r="E1" s="23"/>
      <c r="F1" s="23"/>
      <c r="G1" s="23"/>
      <c r="H1" s="1"/>
      <c r="I1" s="1"/>
      <c r="J1" s="1"/>
      <c r="K1" s="1"/>
    </row>
    <row r="2" spans="1:11" ht="15.6" customHeight="1" x14ac:dyDescent="0.25">
      <c r="A2" s="27" t="s">
        <v>11</v>
      </c>
      <c r="B2" s="63" t="s">
        <v>98</v>
      </c>
      <c r="C2" s="63" t="s">
        <v>99</v>
      </c>
      <c r="D2" s="63" t="s">
        <v>100</v>
      </c>
      <c r="E2" s="63" t="s">
        <v>101</v>
      </c>
      <c r="F2" s="63" t="s">
        <v>102</v>
      </c>
      <c r="G2" s="63" t="s">
        <v>103</v>
      </c>
      <c r="H2" s="1"/>
      <c r="I2" s="1"/>
      <c r="J2" s="1"/>
      <c r="K2" s="1"/>
    </row>
    <row r="3" spans="1:11" ht="15.6" customHeight="1" x14ac:dyDescent="0.25">
      <c r="A3" s="23" t="s">
        <v>12</v>
      </c>
      <c r="B3" s="32"/>
      <c r="C3" s="81"/>
      <c r="D3" s="81"/>
      <c r="E3" s="81"/>
      <c r="F3" s="81"/>
      <c r="G3" s="81"/>
      <c r="H3" s="1"/>
    </row>
    <row r="4" spans="1:11" ht="14.4" x14ac:dyDescent="0.3">
      <c r="A4" s="82"/>
      <c r="B4" s="83" t="s">
        <v>133</v>
      </c>
      <c r="C4" s="83" t="s">
        <v>134</v>
      </c>
      <c r="D4" s="83" t="s">
        <v>136</v>
      </c>
      <c r="E4" s="83" t="s">
        <v>136</v>
      </c>
      <c r="F4" s="83" t="s">
        <v>135</v>
      </c>
      <c r="G4" s="83" t="s">
        <v>133</v>
      </c>
      <c r="H4" s="1"/>
    </row>
    <row r="5" spans="1:11" ht="13.8" x14ac:dyDescent="0.25">
      <c r="A5" s="24"/>
      <c r="B5" s="24"/>
      <c r="C5" s="24"/>
      <c r="D5" s="26"/>
      <c r="E5" s="24"/>
      <c r="F5" s="24"/>
      <c r="G5" s="24"/>
      <c r="H5" s="1"/>
    </row>
    <row r="6" spans="1:11" ht="13.8" x14ac:dyDescent="0.25">
      <c r="A6" s="24" t="s">
        <v>43</v>
      </c>
      <c r="B6" s="84">
        <v>11.3</v>
      </c>
      <c r="C6" s="84">
        <v>161</v>
      </c>
      <c r="D6" s="167">
        <v>23.3</v>
      </c>
      <c r="E6" s="84">
        <v>19.3</v>
      </c>
      <c r="F6" s="84">
        <v>22.5</v>
      </c>
      <c r="G6" s="84">
        <v>12.2</v>
      </c>
      <c r="H6" s="1"/>
    </row>
    <row r="7" spans="1:11" ht="13.8" x14ac:dyDescent="0.25">
      <c r="A7" s="24" t="s">
        <v>54</v>
      </c>
      <c r="B7" s="84">
        <v>12.5</v>
      </c>
      <c r="C7" s="84">
        <v>260</v>
      </c>
      <c r="D7" s="167">
        <v>29.1</v>
      </c>
      <c r="E7" s="84">
        <v>24</v>
      </c>
      <c r="F7" s="84">
        <v>31.8</v>
      </c>
      <c r="G7" s="84">
        <v>13.9</v>
      </c>
      <c r="H7" s="1"/>
    </row>
    <row r="8" spans="1:11" ht="13.8" x14ac:dyDescent="0.25">
      <c r="A8" s="24" t="s">
        <v>69</v>
      </c>
      <c r="B8" s="84">
        <v>14.4</v>
      </c>
      <c r="C8" s="84">
        <v>252</v>
      </c>
      <c r="D8" s="167">
        <v>25.4</v>
      </c>
      <c r="E8" s="84">
        <v>26.5</v>
      </c>
      <c r="F8" s="84">
        <v>30.1</v>
      </c>
      <c r="G8" s="84">
        <v>13.8</v>
      </c>
      <c r="H8" s="1"/>
    </row>
    <row r="9" spans="1:11" ht="13.8" x14ac:dyDescent="0.25">
      <c r="A9" s="24" t="s">
        <v>75</v>
      </c>
      <c r="B9" s="84">
        <v>13</v>
      </c>
      <c r="C9" s="84">
        <v>246</v>
      </c>
      <c r="D9" s="167">
        <v>21.4</v>
      </c>
      <c r="E9" s="84">
        <v>20.6</v>
      </c>
      <c r="F9" s="84">
        <v>24.9</v>
      </c>
      <c r="G9" s="84">
        <v>13.8</v>
      </c>
      <c r="H9" s="1"/>
    </row>
    <row r="10" spans="1:11" ht="13.8" x14ac:dyDescent="0.25">
      <c r="A10" s="24" t="s">
        <v>78</v>
      </c>
      <c r="B10" s="84">
        <v>10.1</v>
      </c>
      <c r="C10" s="84">
        <v>194</v>
      </c>
      <c r="D10" s="167">
        <v>21.7</v>
      </c>
      <c r="E10" s="84">
        <v>16.899999999999999</v>
      </c>
      <c r="F10" s="84">
        <v>22</v>
      </c>
      <c r="G10" s="84">
        <v>11.8</v>
      </c>
      <c r="H10" s="1"/>
    </row>
    <row r="11" spans="1:11" ht="13.8" x14ac:dyDescent="0.25">
      <c r="A11" s="24" t="s">
        <v>79</v>
      </c>
      <c r="B11" s="84">
        <v>8.9499999999999993</v>
      </c>
      <c r="C11" s="84">
        <v>227</v>
      </c>
      <c r="D11" s="167">
        <v>19.600000000000001</v>
      </c>
      <c r="E11" s="84">
        <v>15.6</v>
      </c>
      <c r="F11" s="84">
        <v>19.3</v>
      </c>
      <c r="G11" s="84">
        <v>8.9499999999999993</v>
      </c>
      <c r="H11" s="1"/>
    </row>
    <row r="12" spans="1:11" ht="13.8" x14ac:dyDescent="0.25">
      <c r="A12" s="24" t="s">
        <v>91</v>
      </c>
      <c r="B12" s="84">
        <v>9.4700000000000006</v>
      </c>
      <c r="C12" s="84">
        <v>195</v>
      </c>
      <c r="D12" s="167">
        <v>17.399999999999999</v>
      </c>
      <c r="E12" s="84">
        <v>16.600000000000001</v>
      </c>
      <c r="F12" s="84">
        <v>19.7</v>
      </c>
      <c r="G12" s="84">
        <v>8</v>
      </c>
      <c r="H12" s="1"/>
    </row>
    <row r="13" spans="1:11" ht="13.8" x14ac:dyDescent="0.25">
      <c r="A13" s="24" t="s">
        <v>93</v>
      </c>
      <c r="B13" s="84">
        <v>9.33</v>
      </c>
      <c r="C13" s="84">
        <v>142</v>
      </c>
      <c r="D13" s="167">
        <v>17.2</v>
      </c>
      <c r="E13" s="84">
        <v>17.5</v>
      </c>
      <c r="F13" s="84">
        <v>22.9</v>
      </c>
      <c r="G13" s="84">
        <v>9.5299999999999994</v>
      </c>
      <c r="H13" s="1"/>
    </row>
    <row r="14" spans="1:11" ht="13.8" x14ac:dyDescent="0.25">
      <c r="A14" s="24" t="s">
        <v>118</v>
      </c>
      <c r="B14" s="84">
        <v>8.48</v>
      </c>
      <c r="C14" s="84">
        <v>155</v>
      </c>
      <c r="D14" s="167">
        <v>17.399999999999999</v>
      </c>
      <c r="E14" s="84">
        <v>15.8</v>
      </c>
      <c r="F14" s="84">
        <v>21.5</v>
      </c>
      <c r="G14" s="84">
        <v>9.89</v>
      </c>
      <c r="H14" s="1"/>
    </row>
    <row r="15" spans="1:11" ht="13.8" x14ac:dyDescent="0.25">
      <c r="A15" s="24" t="s">
        <v>120</v>
      </c>
      <c r="B15" s="84">
        <v>8.57</v>
      </c>
      <c r="C15" s="84">
        <v>161</v>
      </c>
      <c r="D15" s="167">
        <v>19.5</v>
      </c>
      <c r="E15" s="84">
        <v>14.8</v>
      </c>
      <c r="F15" s="84">
        <v>20.5</v>
      </c>
      <c r="G15" s="84">
        <v>9.15</v>
      </c>
      <c r="H15" s="1"/>
    </row>
    <row r="16" spans="1:11" ht="16.2" x14ac:dyDescent="0.25">
      <c r="A16" s="24" t="s">
        <v>158</v>
      </c>
      <c r="B16" s="84">
        <v>11.25</v>
      </c>
      <c r="C16" s="84">
        <v>185</v>
      </c>
      <c r="D16" s="167">
        <v>21.150000000000002</v>
      </c>
      <c r="E16" s="84">
        <v>18.3</v>
      </c>
      <c r="F16" s="84">
        <v>21</v>
      </c>
      <c r="G16" s="84">
        <v>12</v>
      </c>
      <c r="H16" s="1"/>
    </row>
    <row r="17" spans="1:8" ht="16.2" x14ac:dyDescent="0.25">
      <c r="A17" s="24" t="s">
        <v>159</v>
      </c>
      <c r="B17" s="84">
        <v>13.85</v>
      </c>
      <c r="C17" s="84">
        <v>236</v>
      </c>
      <c r="D17" s="167">
        <v>24.650000000000002</v>
      </c>
      <c r="E17" s="84">
        <v>26.3</v>
      </c>
      <c r="F17" s="84">
        <v>20.75</v>
      </c>
      <c r="G17" s="84">
        <v>15.25</v>
      </c>
      <c r="H17" s="1"/>
    </row>
    <row r="18" spans="1:8" ht="13.8" x14ac:dyDescent="0.25">
      <c r="A18" s="27"/>
      <c r="B18" s="86"/>
      <c r="C18" s="87"/>
      <c r="D18" s="88"/>
      <c r="E18" s="88"/>
      <c r="F18" s="85"/>
      <c r="G18" s="89"/>
      <c r="H18" s="2"/>
    </row>
    <row r="19" spans="1:8" ht="13.8" x14ac:dyDescent="0.25">
      <c r="A19" s="141" t="s">
        <v>120</v>
      </c>
      <c r="B19" s="84"/>
      <c r="C19" s="84"/>
      <c r="D19" s="84"/>
      <c r="E19" s="84"/>
      <c r="F19" s="84"/>
      <c r="G19" s="84"/>
    </row>
    <row r="20" spans="1:8" ht="13.8" x14ac:dyDescent="0.25">
      <c r="A20" s="27" t="s">
        <v>58</v>
      </c>
      <c r="B20" s="84">
        <v>8.35</v>
      </c>
      <c r="C20" s="84">
        <v>148</v>
      </c>
      <c r="D20" s="84">
        <v>18.5</v>
      </c>
      <c r="E20" s="84">
        <v>14.2</v>
      </c>
      <c r="F20" s="84">
        <v>19.8</v>
      </c>
      <c r="G20" s="84">
        <v>8.84</v>
      </c>
    </row>
    <row r="21" spans="1:8" ht="13.8" x14ac:dyDescent="0.25">
      <c r="A21" s="27" t="s">
        <v>45</v>
      </c>
      <c r="B21" s="84">
        <v>8.6</v>
      </c>
      <c r="C21" s="84">
        <v>152</v>
      </c>
      <c r="D21" s="84">
        <v>17.5</v>
      </c>
      <c r="E21" s="84">
        <v>14.2</v>
      </c>
      <c r="F21" s="84">
        <v>20.399999999999999</v>
      </c>
      <c r="G21" s="84">
        <v>9.01</v>
      </c>
    </row>
    <row r="22" spans="1:8" ht="13.8" x14ac:dyDescent="0.25">
      <c r="A22" s="27" t="s">
        <v>46</v>
      </c>
      <c r="B22" s="84">
        <v>8.59</v>
      </c>
      <c r="C22" s="84">
        <v>162</v>
      </c>
      <c r="D22" s="84">
        <v>17.7</v>
      </c>
      <c r="E22" s="84">
        <v>14.3</v>
      </c>
      <c r="F22" s="84">
        <v>19.2</v>
      </c>
      <c r="G22" s="84">
        <v>8.6999999999999993</v>
      </c>
    </row>
    <row r="23" spans="1:8" ht="13.8" x14ac:dyDescent="0.25">
      <c r="A23" s="27" t="s">
        <v>47</v>
      </c>
      <c r="B23" s="84">
        <v>8.6999999999999993</v>
      </c>
      <c r="C23" s="84">
        <v>163</v>
      </c>
      <c r="D23" s="84">
        <v>17.8</v>
      </c>
      <c r="E23" s="84">
        <v>14.7</v>
      </c>
      <c r="F23" s="84">
        <v>19.600000000000001</v>
      </c>
      <c r="G23" s="84">
        <v>8.91</v>
      </c>
    </row>
    <row r="24" spans="1:8" ht="13.8" x14ac:dyDescent="0.25">
      <c r="A24" s="27" t="s">
        <v>48</v>
      </c>
      <c r="B24" s="84">
        <v>8.84</v>
      </c>
      <c r="C24" s="84">
        <v>161</v>
      </c>
      <c r="D24" s="84">
        <v>19.5</v>
      </c>
      <c r="E24" s="84">
        <v>16.100000000000001</v>
      </c>
      <c r="F24" s="84">
        <v>20.9</v>
      </c>
      <c r="G24" s="84">
        <v>8.9700000000000006</v>
      </c>
    </row>
    <row r="25" spans="1:8" ht="13.8" x14ac:dyDescent="0.25">
      <c r="A25" s="27" t="s">
        <v>49</v>
      </c>
      <c r="B25" s="84">
        <v>8.6</v>
      </c>
      <c r="C25" s="84">
        <v>190</v>
      </c>
      <c r="D25" s="84">
        <v>20.399999999999999</v>
      </c>
      <c r="E25" s="84">
        <v>16.100000000000001</v>
      </c>
      <c r="F25" s="84">
        <v>20.5</v>
      </c>
      <c r="G25" s="84">
        <v>10.4</v>
      </c>
    </row>
    <row r="26" spans="1:8" ht="13.8" x14ac:dyDescent="0.25">
      <c r="A26" s="27" t="s">
        <v>50</v>
      </c>
      <c r="B26" s="84">
        <v>8.4700000000000006</v>
      </c>
      <c r="C26" s="84" t="s">
        <v>10</v>
      </c>
      <c r="D26" s="84">
        <v>20.9</v>
      </c>
      <c r="E26" s="84">
        <v>15.7</v>
      </c>
      <c r="F26" s="84">
        <v>20.6</v>
      </c>
      <c r="G26" s="84">
        <v>10.7</v>
      </c>
    </row>
    <row r="27" spans="1:8" ht="13.8" x14ac:dyDescent="0.25">
      <c r="A27" s="27" t="s">
        <v>51</v>
      </c>
      <c r="B27" s="84">
        <v>8.35</v>
      </c>
      <c r="C27" s="84" t="s">
        <v>10</v>
      </c>
      <c r="D27" s="84">
        <v>20.3</v>
      </c>
      <c r="E27" s="84">
        <v>15.2</v>
      </c>
      <c r="F27" s="84">
        <v>20.6</v>
      </c>
      <c r="G27" s="84">
        <v>9.31</v>
      </c>
    </row>
    <row r="28" spans="1:8" ht="13.8" x14ac:dyDescent="0.25">
      <c r="A28" s="27" t="s">
        <v>52</v>
      </c>
      <c r="B28" s="84">
        <v>8.2799999999999994</v>
      </c>
      <c r="C28" s="84" t="s">
        <v>10</v>
      </c>
      <c r="D28" s="84">
        <v>20.5</v>
      </c>
      <c r="E28" s="84">
        <v>14.4</v>
      </c>
      <c r="F28" s="84">
        <v>21.1</v>
      </c>
      <c r="G28" s="84">
        <v>9.57</v>
      </c>
    </row>
    <row r="29" spans="1:8" ht="13.8" x14ac:dyDescent="0.25">
      <c r="A29" s="27" t="s">
        <v>53</v>
      </c>
      <c r="B29" s="84">
        <v>8.34</v>
      </c>
      <c r="C29" s="84" t="s">
        <v>10</v>
      </c>
      <c r="D29" s="84">
        <v>21.7</v>
      </c>
      <c r="E29" s="84">
        <v>15.2</v>
      </c>
      <c r="F29" s="84">
        <v>20.7</v>
      </c>
      <c r="G29" s="84">
        <v>10</v>
      </c>
    </row>
    <row r="30" spans="1:8" ht="13.8" x14ac:dyDescent="0.25">
      <c r="A30" s="27" t="s">
        <v>55</v>
      </c>
      <c r="B30" s="84">
        <v>8.5</v>
      </c>
      <c r="C30" s="84" t="s">
        <v>10</v>
      </c>
      <c r="D30" s="84">
        <v>23.7</v>
      </c>
      <c r="E30" s="84">
        <v>15.5</v>
      </c>
      <c r="F30" s="84">
        <v>20.7</v>
      </c>
      <c r="G30" s="84">
        <v>9.64</v>
      </c>
    </row>
    <row r="31" spans="1:8" ht="13.8" x14ac:dyDescent="0.25">
      <c r="A31" s="27" t="s">
        <v>56</v>
      </c>
      <c r="B31" s="84">
        <v>8.66</v>
      </c>
      <c r="C31" s="84">
        <v>155</v>
      </c>
      <c r="D31" s="84">
        <v>25.8</v>
      </c>
      <c r="E31" s="84">
        <v>15.1</v>
      </c>
      <c r="F31" s="84">
        <v>20.6</v>
      </c>
      <c r="G31" s="84">
        <v>8.56</v>
      </c>
    </row>
    <row r="32" spans="1:8" ht="13.8" x14ac:dyDescent="0.25">
      <c r="A32" s="27"/>
      <c r="B32" s="84"/>
      <c r="C32" s="84"/>
      <c r="D32" s="84"/>
      <c r="E32" s="84"/>
      <c r="F32" s="84"/>
      <c r="G32" s="84"/>
    </row>
    <row r="33" spans="1:7" ht="13.8" x14ac:dyDescent="0.25">
      <c r="A33" s="141" t="s">
        <v>128</v>
      </c>
      <c r="B33" s="84"/>
      <c r="C33" s="84"/>
      <c r="D33" s="84"/>
      <c r="E33" s="84"/>
      <c r="F33" s="84"/>
      <c r="G33" s="84"/>
    </row>
    <row r="34" spans="1:7" ht="13.8" x14ac:dyDescent="0.25">
      <c r="A34" s="27" t="s">
        <v>58</v>
      </c>
      <c r="B34" s="84">
        <v>9.24</v>
      </c>
      <c r="C34" s="84">
        <v>160</v>
      </c>
      <c r="D34" s="84">
        <v>23.7</v>
      </c>
      <c r="E34" s="84">
        <v>16.399999999999999</v>
      </c>
      <c r="F34" s="84">
        <v>20.5</v>
      </c>
      <c r="G34" s="84">
        <v>9.64</v>
      </c>
    </row>
    <row r="35" spans="1:7" ht="13.8" x14ac:dyDescent="0.25">
      <c r="A35" s="27" t="s">
        <v>45</v>
      </c>
      <c r="B35" s="84">
        <v>9.6300000000000008</v>
      </c>
      <c r="C35" s="84">
        <v>189</v>
      </c>
      <c r="D35" s="84">
        <v>19.100000000000001</v>
      </c>
      <c r="E35" s="84">
        <v>16.2</v>
      </c>
      <c r="F35" s="84">
        <v>20.9</v>
      </c>
      <c r="G35" s="84">
        <v>9.76</v>
      </c>
    </row>
    <row r="36" spans="1:7" ht="13.8" x14ac:dyDescent="0.25">
      <c r="A36" s="27" t="s">
        <v>46</v>
      </c>
      <c r="B36" s="84">
        <v>10.3</v>
      </c>
      <c r="C36" s="84">
        <v>199</v>
      </c>
      <c r="D36" s="84">
        <v>18.899999999999999</v>
      </c>
      <c r="E36" s="84">
        <v>18.100000000000001</v>
      </c>
      <c r="F36" s="84">
        <v>21.2</v>
      </c>
      <c r="G36" s="84">
        <v>10.7</v>
      </c>
    </row>
    <row r="37" spans="1:7" ht="13.8" x14ac:dyDescent="0.25">
      <c r="A37" s="27" t="s">
        <v>47</v>
      </c>
      <c r="B37" s="84">
        <v>10.5</v>
      </c>
      <c r="C37" s="84">
        <v>190</v>
      </c>
      <c r="D37" s="84">
        <v>19.2</v>
      </c>
      <c r="E37" s="84">
        <v>17.2</v>
      </c>
      <c r="F37" s="84">
        <v>20.399999999999999</v>
      </c>
      <c r="G37" s="84">
        <v>10.9</v>
      </c>
    </row>
    <row r="38" spans="1:7" ht="13.8" x14ac:dyDescent="0.25">
      <c r="A38" s="27" t="s">
        <v>48</v>
      </c>
      <c r="B38" s="84">
        <v>10.9</v>
      </c>
      <c r="C38" s="84">
        <v>209</v>
      </c>
      <c r="D38" s="84">
        <v>19.600000000000001</v>
      </c>
      <c r="E38" s="84">
        <v>18.8</v>
      </c>
      <c r="F38" s="84">
        <v>20.5</v>
      </c>
      <c r="G38" s="84">
        <v>12</v>
      </c>
    </row>
    <row r="39" spans="1:7" ht="13.8" x14ac:dyDescent="0.25">
      <c r="A39" s="27" t="s">
        <v>49</v>
      </c>
      <c r="B39" s="84">
        <v>12.7</v>
      </c>
      <c r="C39" s="84">
        <v>186</v>
      </c>
      <c r="D39" s="84">
        <v>21.4</v>
      </c>
      <c r="E39" s="84">
        <v>20.399999999999999</v>
      </c>
      <c r="F39" s="84">
        <v>20.5</v>
      </c>
      <c r="G39" s="84">
        <v>13.2</v>
      </c>
    </row>
    <row r="40" spans="1:7" ht="13.8" x14ac:dyDescent="0.25">
      <c r="A40" s="27" t="s">
        <v>50</v>
      </c>
      <c r="B40" s="84">
        <v>13.2</v>
      </c>
      <c r="C40" s="84" t="s">
        <v>10</v>
      </c>
      <c r="D40" s="84">
        <v>21.6</v>
      </c>
      <c r="E40" s="84">
        <v>22</v>
      </c>
      <c r="F40" s="84">
        <v>21.2</v>
      </c>
      <c r="G40" s="84">
        <v>15.7</v>
      </c>
    </row>
    <row r="41" spans="1:7" ht="13.8" x14ac:dyDescent="0.25">
      <c r="A41" s="23" t="s">
        <v>51</v>
      </c>
      <c r="B41" s="90">
        <v>13.9</v>
      </c>
      <c r="C41" s="90" t="s">
        <v>10</v>
      </c>
      <c r="D41" s="90">
        <v>23.7</v>
      </c>
      <c r="E41" s="90">
        <v>23.8</v>
      </c>
      <c r="F41" s="90">
        <v>21.4</v>
      </c>
      <c r="G41" s="90">
        <v>18.100000000000001</v>
      </c>
    </row>
    <row r="42" spans="1:7" ht="16.2" x14ac:dyDescent="0.25">
      <c r="A42" s="24" t="s">
        <v>160</v>
      </c>
      <c r="B42" s="24"/>
      <c r="C42" s="24"/>
      <c r="D42" s="24"/>
      <c r="E42" s="24"/>
      <c r="F42" s="24"/>
      <c r="G42" s="24"/>
    </row>
    <row r="43" spans="1:7" ht="13.8" x14ac:dyDescent="0.25">
      <c r="A43" s="24" t="s">
        <v>44</v>
      </c>
      <c r="B43" s="91"/>
      <c r="C43" s="91"/>
      <c r="D43" s="91"/>
      <c r="E43" s="91"/>
      <c r="F43" s="91"/>
      <c r="G43" s="91"/>
    </row>
    <row r="44" spans="1:7" ht="14.4" x14ac:dyDescent="0.3">
      <c r="A44" s="24" t="s">
        <v>104</v>
      </c>
      <c r="B44" s="24"/>
      <c r="C44" s="24"/>
      <c r="D44" s="24"/>
      <c r="E44" s="24"/>
      <c r="F44" s="24"/>
      <c r="G44" s="24"/>
    </row>
    <row r="45" spans="1:7" ht="13.8" x14ac:dyDescent="0.25">
      <c r="A45" s="28" t="s">
        <v>18</v>
      </c>
      <c r="B45" s="54">
        <f ca="1">NOW()</f>
        <v>44368.339088773151</v>
      </c>
      <c r="C45" s="24"/>
      <c r="D45" s="24"/>
      <c r="E45" s="24"/>
      <c r="F45" s="24"/>
      <c r="G45" s="24"/>
    </row>
  </sheetData>
  <phoneticPr fontId="6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T65"/>
  <sheetViews>
    <sheetView showGridLines="0" zoomScaleNormal="100" workbookViewId="0">
      <selection activeCell="K31" sqref="K31"/>
    </sheetView>
  </sheetViews>
  <sheetFormatPr defaultRowHeight="13.2" x14ac:dyDescent="0.25"/>
  <cols>
    <col min="1" max="2" width="11.77734375" customWidth="1"/>
    <col min="3" max="3" width="11.5546875" customWidth="1"/>
    <col min="4" max="4" width="13.77734375" customWidth="1"/>
    <col min="5" max="5" width="10.5546875" customWidth="1"/>
    <col min="6" max="7" width="10.77734375" customWidth="1"/>
    <col min="8" max="9" width="10.5546875" customWidth="1"/>
    <col min="13" max="13" width="20.21875" bestFit="1" customWidth="1"/>
  </cols>
  <sheetData>
    <row r="1" spans="1:9" ht="13.8" x14ac:dyDescent="0.25">
      <c r="A1" s="23" t="s">
        <v>147</v>
      </c>
      <c r="B1" s="23"/>
      <c r="C1" s="23"/>
      <c r="D1" s="23"/>
      <c r="E1" s="23"/>
      <c r="F1" s="23"/>
      <c r="G1" s="23"/>
      <c r="H1" s="23"/>
      <c r="I1" s="24"/>
    </row>
    <row r="2" spans="1:9" ht="15.6" customHeight="1" x14ac:dyDescent="0.25">
      <c r="A2" s="92" t="s">
        <v>11</v>
      </c>
      <c r="B2" s="63" t="s">
        <v>35</v>
      </c>
      <c r="C2" s="63" t="s">
        <v>13</v>
      </c>
      <c r="D2" s="63" t="s">
        <v>68</v>
      </c>
      <c r="E2" s="93" t="s">
        <v>41</v>
      </c>
      <c r="F2" s="93" t="s">
        <v>36</v>
      </c>
      <c r="G2" s="63" t="s">
        <v>40</v>
      </c>
      <c r="H2" s="63" t="s">
        <v>105</v>
      </c>
      <c r="I2" s="94" t="s">
        <v>39</v>
      </c>
    </row>
    <row r="3" spans="1:9" ht="15.6" customHeight="1" x14ac:dyDescent="0.25">
      <c r="A3" s="67" t="s">
        <v>12</v>
      </c>
      <c r="B3" s="31" t="s">
        <v>106</v>
      </c>
      <c r="C3" s="31" t="s">
        <v>107</v>
      </c>
      <c r="D3" s="31" t="s">
        <v>108</v>
      </c>
      <c r="E3" s="31" t="s">
        <v>108</v>
      </c>
      <c r="F3" s="31" t="s">
        <v>109</v>
      </c>
      <c r="G3" s="31" t="s">
        <v>110</v>
      </c>
      <c r="H3" s="31"/>
      <c r="I3" s="31" t="s">
        <v>111</v>
      </c>
    </row>
    <row r="4" spans="1:9" ht="14.4" x14ac:dyDescent="0.3">
      <c r="A4" s="24"/>
      <c r="B4" s="43" t="s">
        <v>138</v>
      </c>
      <c r="C4" s="95"/>
      <c r="D4" s="95"/>
      <c r="E4" s="95"/>
      <c r="F4" s="95"/>
      <c r="G4" s="95"/>
      <c r="H4" s="95"/>
      <c r="I4" s="95"/>
    </row>
    <row r="5" spans="1:9" ht="13.8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9" ht="13.8" x14ac:dyDescent="0.25">
      <c r="A6" s="24" t="s">
        <v>43</v>
      </c>
      <c r="B6" s="84">
        <v>53.2</v>
      </c>
      <c r="C6" s="84">
        <v>54.5</v>
      </c>
      <c r="D6" s="84">
        <v>86.12</v>
      </c>
      <c r="E6" s="84">
        <v>58.68</v>
      </c>
      <c r="F6" s="84">
        <v>77.239999999999995</v>
      </c>
      <c r="G6" s="84">
        <v>60.76</v>
      </c>
      <c r="H6" s="84">
        <v>51.52</v>
      </c>
      <c r="I6" s="84">
        <v>51.34</v>
      </c>
    </row>
    <row r="7" spans="1:9" ht="13.8" x14ac:dyDescent="0.25">
      <c r="A7" s="24" t="s">
        <v>54</v>
      </c>
      <c r="B7" s="84">
        <v>51.9</v>
      </c>
      <c r="C7" s="84">
        <v>53.22</v>
      </c>
      <c r="D7" s="84">
        <v>83.2</v>
      </c>
      <c r="E7" s="84">
        <v>57.19</v>
      </c>
      <c r="F7" s="84">
        <v>100.15</v>
      </c>
      <c r="G7" s="84">
        <v>56.09</v>
      </c>
      <c r="H7" s="84">
        <v>48.11</v>
      </c>
      <c r="I7" s="84">
        <v>50.33</v>
      </c>
    </row>
    <row r="8" spans="1:9" ht="13.8" x14ac:dyDescent="0.25">
      <c r="A8" s="24" t="s">
        <v>69</v>
      </c>
      <c r="B8" s="84">
        <v>47.13</v>
      </c>
      <c r="C8" s="84">
        <v>48.6</v>
      </c>
      <c r="D8" s="84">
        <v>65.87</v>
      </c>
      <c r="E8" s="84">
        <v>56.17</v>
      </c>
      <c r="F8" s="84">
        <v>91.83</v>
      </c>
      <c r="G8" s="84">
        <v>46.66</v>
      </c>
      <c r="H8" s="84">
        <v>51.8</v>
      </c>
      <c r="I8" s="84">
        <v>43.24</v>
      </c>
    </row>
    <row r="9" spans="1:9" ht="13.8" x14ac:dyDescent="0.25">
      <c r="A9" s="24" t="s">
        <v>75</v>
      </c>
      <c r="B9" s="84">
        <v>38.229999999999997</v>
      </c>
      <c r="C9" s="84">
        <v>60.66</v>
      </c>
      <c r="D9" s="84">
        <v>59.12</v>
      </c>
      <c r="E9" s="84">
        <v>43.7</v>
      </c>
      <c r="F9" s="84">
        <v>68.23</v>
      </c>
      <c r="G9" s="84">
        <v>39.43</v>
      </c>
      <c r="H9" s="84">
        <v>43.93</v>
      </c>
      <c r="I9" s="84">
        <v>39.76</v>
      </c>
    </row>
    <row r="10" spans="1:9" ht="13.8" x14ac:dyDescent="0.25">
      <c r="A10" s="24" t="s">
        <v>78</v>
      </c>
      <c r="B10" s="84">
        <v>31.6</v>
      </c>
      <c r="C10" s="84">
        <v>45.74</v>
      </c>
      <c r="D10" s="84">
        <v>66.72</v>
      </c>
      <c r="E10" s="84">
        <v>37.81</v>
      </c>
      <c r="F10" s="84">
        <v>57.96</v>
      </c>
      <c r="G10" s="84">
        <v>37.479999999999997</v>
      </c>
      <c r="H10" s="84">
        <v>33.43</v>
      </c>
      <c r="I10" s="84">
        <v>31.36</v>
      </c>
    </row>
    <row r="11" spans="1:9" ht="13.8" x14ac:dyDescent="0.25">
      <c r="A11" s="24" t="s">
        <v>79</v>
      </c>
      <c r="B11" s="84">
        <v>29.86</v>
      </c>
      <c r="C11" s="84">
        <v>45.87</v>
      </c>
      <c r="D11" s="84">
        <v>57.81</v>
      </c>
      <c r="E11" s="84">
        <v>35.270000000000003</v>
      </c>
      <c r="F11" s="84">
        <v>58.26</v>
      </c>
      <c r="G11" s="84">
        <v>39.25</v>
      </c>
      <c r="H11" s="84">
        <v>32.229999999999997</v>
      </c>
      <c r="I11" s="84">
        <v>30.07</v>
      </c>
    </row>
    <row r="12" spans="1:9" ht="13.8" x14ac:dyDescent="0.25">
      <c r="A12" s="24" t="s">
        <v>91</v>
      </c>
      <c r="B12" s="84">
        <v>32.549999999999997</v>
      </c>
      <c r="C12" s="84">
        <v>40.92</v>
      </c>
      <c r="D12" s="84">
        <v>53.54</v>
      </c>
      <c r="E12" s="84">
        <v>38.729999999999997</v>
      </c>
      <c r="F12" s="84">
        <v>66.73</v>
      </c>
      <c r="G12" s="84">
        <v>37.43</v>
      </c>
      <c r="H12" s="84">
        <v>33.07</v>
      </c>
      <c r="I12" s="84">
        <v>34.75</v>
      </c>
    </row>
    <row r="13" spans="1:9" ht="13.8" x14ac:dyDescent="0.25">
      <c r="A13" s="24" t="s">
        <v>93</v>
      </c>
      <c r="B13" s="84">
        <v>30.04</v>
      </c>
      <c r="C13" s="84">
        <v>31.87</v>
      </c>
      <c r="D13" s="84">
        <v>54.57</v>
      </c>
      <c r="E13" s="84">
        <v>38.270000000000003</v>
      </c>
      <c r="F13" s="84">
        <v>66.72</v>
      </c>
      <c r="G13" s="84">
        <v>30.35</v>
      </c>
      <c r="H13" s="84">
        <v>34.159999999999997</v>
      </c>
      <c r="I13" s="84">
        <v>31.21</v>
      </c>
    </row>
    <row r="14" spans="1:9" ht="13.8" x14ac:dyDescent="0.25">
      <c r="A14" s="24" t="s">
        <v>118</v>
      </c>
      <c r="B14" s="84">
        <v>28.26</v>
      </c>
      <c r="C14" s="84">
        <v>35.14</v>
      </c>
      <c r="D14" s="84">
        <v>53.28</v>
      </c>
      <c r="E14" s="84">
        <v>36.090000000000003</v>
      </c>
      <c r="F14" s="84">
        <v>64.72</v>
      </c>
      <c r="G14" s="84">
        <v>26.93</v>
      </c>
      <c r="H14" s="84">
        <v>31.65</v>
      </c>
      <c r="I14" s="84">
        <v>33.11</v>
      </c>
    </row>
    <row r="15" spans="1:9" ht="13.8" x14ac:dyDescent="0.25">
      <c r="A15" s="24" t="s">
        <v>120</v>
      </c>
      <c r="B15" s="84">
        <v>29.67</v>
      </c>
      <c r="C15" s="84">
        <v>40.18</v>
      </c>
      <c r="D15" s="84">
        <v>65.03</v>
      </c>
      <c r="E15" s="84">
        <v>37.869999999999997</v>
      </c>
      <c r="F15" s="84">
        <v>65.569999999999993</v>
      </c>
      <c r="G15" s="84">
        <v>39.47</v>
      </c>
      <c r="H15" s="84">
        <v>35.75</v>
      </c>
      <c r="I15" s="84">
        <v>38.369999999999997</v>
      </c>
    </row>
    <row r="16" spans="1:9" ht="16.2" x14ac:dyDescent="0.25">
      <c r="A16" s="24" t="s">
        <v>123</v>
      </c>
      <c r="B16" s="84">
        <v>59</v>
      </c>
      <c r="C16" s="84">
        <v>80</v>
      </c>
      <c r="D16" s="84">
        <v>79</v>
      </c>
      <c r="E16" s="84">
        <v>61</v>
      </c>
      <c r="F16" s="84">
        <v>109</v>
      </c>
      <c r="G16" s="84">
        <v>44</v>
      </c>
      <c r="H16" s="84">
        <v>43.5</v>
      </c>
      <c r="I16" s="84">
        <v>39</v>
      </c>
    </row>
    <row r="17" spans="1:20" ht="16.2" x14ac:dyDescent="0.25">
      <c r="A17" s="24" t="s">
        <v>156</v>
      </c>
      <c r="B17" s="84">
        <v>65</v>
      </c>
      <c r="C17" s="84">
        <v>80.099999999999994</v>
      </c>
      <c r="D17" s="84">
        <v>90</v>
      </c>
      <c r="E17" s="84">
        <v>71</v>
      </c>
      <c r="F17" s="84">
        <v>120</v>
      </c>
      <c r="G17" s="84">
        <v>78</v>
      </c>
      <c r="H17" s="84">
        <v>56</v>
      </c>
      <c r="I17" s="84">
        <v>58</v>
      </c>
    </row>
    <row r="18" spans="1:20" ht="13.8" x14ac:dyDescent="0.25">
      <c r="A18" s="24"/>
      <c r="B18" s="40"/>
      <c r="C18" s="87"/>
      <c r="D18" s="96"/>
      <c r="E18" s="96"/>
      <c r="F18" s="96"/>
      <c r="G18" s="96"/>
      <c r="H18" s="24"/>
      <c r="I18" s="24"/>
    </row>
    <row r="19" spans="1:20" ht="13.8" x14ac:dyDescent="0.25">
      <c r="A19" s="139" t="s">
        <v>120</v>
      </c>
      <c r="B19" s="84"/>
      <c r="C19" s="84"/>
      <c r="D19" s="84"/>
      <c r="E19" s="84"/>
      <c r="F19" s="84"/>
      <c r="G19" s="84"/>
      <c r="H19" s="84"/>
      <c r="I19" s="84"/>
    </row>
    <row r="20" spans="1:20" ht="13.8" x14ac:dyDescent="0.25">
      <c r="A20" s="27" t="s">
        <v>45</v>
      </c>
      <c r="B20" s="84">
        <v>30.14</v>
      </c>
      <c r="C20" s="84">
        <v>37.94</v>
      </c>
      <c r="D20" s="84">
        <v>56</v>
      </c>
      <c r="E20" s="84">
        <v>36.31</v>
      </c>
      <c r="F20" s="84">
        <v>61.5</v>
      </c>
      <c r="G20" s="84">
        <v>28.3</v>
      </c>
      <c r="H20" s="84" t="s">
        <v>10</v>
      </c>
      <c r="I20" s="84" t="s">
        <v>10</v>
      </c>
    </row>
    <row r="21" spans="1:20" ht="13.8" x14ac:dyDescent="0.25">
      <c r="A21" s="27" t="s">
        <v>46</v>
      </c>
      <c r="B21" s="84">
        <v>30.62</v>
      </c>
      <c r="C21" s="84">
        <v>38.4</v>
      </c>
      <c r="D21" s="84">
        <v>56</v>
      </c>
      <c r="E21" s="84">
        <v>36.15</v>
      </c>
      <c r="F21" s="84">
        <v>63.1</v>
      </c>
      <c r="G21" s="84">
        <v>30.36</v>
      </c>
      <c r="H21" s="84" t="s">
        <v>10</v>
      </c>
      <c r="I21" s="84">
        <v>35</v>
      </c>
    </row>
    <row r="22" spans="1:20" ht="13.8" x14ac:dyDescent="0.25">
      <c r="A22" s="27" t="s">
        <v>47</v>
      </c>
      <c r="B22" s="84">
        <v>32.270000000000003</v>
      </c>
      <c r="C22" s="84">
        <v>40.25</v>
      </c>
      <c r="D22" s="84">
        <v>76</v>
      </c>
      <c r="E22" s="84">
        <v>38.06</v>
      </c>
      <c r="F22" s="84">
        <v>60.13</v>
      </c>
      <c r="G22" s="84">
        <v>31.25</v>
      </c>
      <c r="H22" s="84" t="s">
        <v>10</v>
      </c>
      <c r="I22" s="84" t="s">
        <v>10</v>
      </c>
    </row>
    <row r="23" spans="1:20" ht="13.8" x14ac:dyDescent="0.25">
      <c r="A23" s="27" t="s">
        <v>48</v>
      </c>
      <c r="B23" s="84">
        <v>33.04</v>
      </c>
      <c r="C23" s="84">
        <v>40.1</v>
      </c>
      <c r="D23" s="84">
        <v>70</v>
      </c>
      <c r="E23" s="84">
        <v>37.9</v>
      </c>
      <c r="F23" s="84">
        <v>59</v>
      </c>
      <c r="G23" s="84">
        <v>33.299999999999997</v>
      </c>
      <c r="H23" s="84" t="s">
        <v>10</v>
      </c>
      <c r="I23" s="84">
        <v>36.14</v>
      </c>
    </row>
    <row r="24" spans="1:20" ht="13.8" x14ac:dyDescent="0.25">
      <c r="A24" s="27" t="s">
        <v>49</v>
      </c>
      <c r="B24" s="84">
        <v>30.26</v>
      </c>
      <c r="C24" s="84">
        <v>38.5</v>
      </c>
      <c r="D24" s="84">
        <v>70</v>
      </c>
      <c r="E24" s="84">
        <v>35.5</v>
      </c>
      <c r="F24" s="84">
        <v>59</v>
      </c>
      <c r="G24" s="84">
        <v>36</v>
      </c>
      <c r="H24" s="84" t="s">
        <v>10</v>
      </c>
      <c r="I24" s="84">
        <v>38.21</v>
      </c>
    </row>
    <row r="25" spans="1:20" ht="13.8" x14ac:dyDescent="0.25">
      <c r="A25" s="27" t="s">
        <v>50</v>
      </c>
      <c r="B25" s="84">
        <v>27.04</v>
      </c>
      <c r="C25" s="84">
        <v>36.19</v>
      </c>
      <c r="D25" s="84">
        <v>76</v>
      </c>
      <c r="E25" s="84">
        <v>32.880000000000003</v>
      </c>
      <c r="F25" s="84">
        <v>59.75</v>
      </c>
      <c r="G25" s="84">
        <v>36.94</v>
      </c>
      <c r="H25" s="84" t="s">
        <v>10</v>
      </c>
      <c r="I25" s="84">
        <v>35.5</v>
      </c>
      <c r="N25" s="145"/>
      <c r="O25" s="145"/>
      <c r="P25" s="145"/>
      <c r="Q25" s="145"/>
      <c r="R25" s="145"/>
      <c r="S25" s="145"/>
      <c r="T25" s="145"/>
    </row>
    <row r="26" spans="1:20" ht="13.8" x14ac:dyDescent="0.25">
      <c r="A26" s="27" t="s">
        <v>51</v>
      </c>
      <c r="B26" s="84">
        <v>25.69</v>
      </c>
      <c r="C26" s="84">
        <v>37.31</v>
      </c>
      <c r="D26" s="84">
        <v>76</v>
      </c>
      <c r="E26" s="84">
        <v>32.380000000000003</v>
      </c>
      <c r="F26" s="84">
        <v>59.5</v>
      </c>
      <c r="G26" s="84">
        <v>44.88</v>
      </c>
      <c r="H26" s="84">
        <v>32</v>
      </c>
      <c r="I26" s="84">
        <v>37.18</v>
      </c>
    </row>
    <row r="27" spans="1:20" ht="13.8" x14ac:dyDescent="0.25">
      <c r="A27" s="27" t="s">
        <v>52</v>
      </c>
      <c r="B27" s="84">
        <v>25.27</v>
      </c>
      <c r="C27" s="84">
        <v>37.200000000000003</v>
      </c>
      <c r="D27" s="84">
        <v>74</v>
      </c>
      <c r="E27" s="84">
        <v>32.4</v>
      </c>
      <c r="F27" s="84">
        <v>62.1</v>
      </c>
      <c r="G27" s="84">
        <v>47.64</v>
      </c>
      <c r="H27" s="84">
        <v>35.5</v>
      </c>
      <c r="I27" s="84">
        <v>43.95</v>
      </c>
    </row>
    <row r="28" spans="1:20" ht="13.8" x14ac:dyDescent="0.25">
      <c r="A28" s="27" t="s">
        <v>53</v>
      </c>
      <c r="B28" s="84">
        <v>26.61</v>
      </c>
      <c r="C28" s="84">
        <v>36.75</v>
      </c>
      <c r="D28" s="84">
        <v>56</v>
      </c>
      <c r="E28" s="84">
        <v>36.630000000000003</v>
      </c>
      <c r="F28" s="84">
        <v>84.75</v>
      </c>
      <c r="G28" s="84">
        <v>51.34</v>
      </c>
      <c r="H28" s="84">
        <v>36.5</v>
      </c>
      <c r="I28" s="84">
        <v>41.92</v>
      </c>
    </row>
    <row r="29" spans="1:20" ht="13.8" x14ac:dyDescent="0.25">
      <c r="A29" s="27" t="s">
        <v>55</v>
      </c>
      <c r="B29" s="84">
        <v>28.71</v>
      </c>
      <c r="C29" s="84">
        <v>43</v>
      </c>
      <c r="D29" s="84">
        <v>56.4</v>
      </c>
      <c r="E29" s="84">
        <v>40.5</v>
      </c>
      <c r="F29" s="84">
        <v>85</v>
      </c>
      <c r="G29" s="84">
        <v>45.45</v>
      </c>
      <c r="H29" s="84" t="s">
        <v>10</v>
      </c>
      <c r="I29" s="84">
        <v>39.43</v>
      </c>
    </row>
    <row r="30" spans="1:20" ht="13.8" x14ac:dyDescent="0.25">
      <c r="A30" s="27" t="s">
        <v>56</v>
      </c>
      <c r="B30" s="84">
        <v>32.130000000000003</v>
      </c>
      <c r="C30" s="84">
        <v>46.81</v>
      </c>
      <c r="D30" s="84">
        <v>57</v>
      </c>
      <c r="E30" s="84">
        <v>47.81</v>
      </c>
      <c r="F30" s="84">
        <v>90</v>
      </c>
      <c r="G30" s="84">
        <v>44.75</v>
      </c>
      <c r="H30" s="84">
        <v>39</v>
      </c>
      <c r="I30" s="84">
        <v>39.33</v>
      </c>
    </row>
    <row r="31" spans="1:20" ht="13.8" x14ac:dyDescent="0.25">
      <c r="A31" s="27" t="s">
        <v>58</v>
      </c>
      <c r="B31" s="84">
        <v>34.200000000000003</v>
      </c>
      <c r="C31" s="84">
        <v>49.69</v>
      </c>
      <c r="D31" s="84">
        <v>57</v>
      </c>
      <c r="E31" s="84">
        <v>47.94</v>
      </c>
      <c r="F31" s="84">
        <v>90</v>
      </c>
      <c r="G31" s="84">
        <v>43.38</v>
      </c>
      <c r="H31" s="84" t="s">
        <v>10</v>
      </c>
      <c r="I31" s="84">
        <v>37</v>
      </c>
    </row>
    <row r="32" spans="1:20" ht="13.8" x14ac:dyDescent="0.25">
      <c r="A32" s="27"/>
      <c r="B32" s="84"/>
      <c r="C32" s="84"/>
      <c r="D32" s="84"/>
      <c r="E32" s="84"/>
      <c r="F32" s="84"/>
      <c r="G32" s="84"/>
      <c r="H32" s="84"/>
      <c r="I32" s="84"/>
    </row>
    <row r="33" spans="1:9" ht="13.8" x14ac:dyDescent="0.25">
      <c r="A33" s="139" t="s">
        <v>128</v>
      </c>
      <c r="B33" s="84"/>
      <c r="C33" s="84"/>
      <c r="D33" s="84"/>
      <c r="E33" s="84"/>
      <c r="F33" s="84"/>
      <c r="G33" s="84"/>
      <c r="H33" s="84"/>
      <c r="I33" s="84"/>
    </row>
    <row r="34" spans="1:9" ht="13.8" x14ac:dyDescent="0.25">
      <c r="A34" s="27" t="s">
        <v>45</v>
      </c>
      <c r="B34" s="84">
        <v>33.92</v>
      </c>
      <c r="C34" s="84">
        <v>48.35</v>
      </c>
      <c r="D34" s="84">
        <v>57</v>
      </c>
      <c r="E34" s="84">
        <v>44.35</v>
      </c>
      <c r="F34" s="84">
        <v>93</v>
      </c>
      <c r="G34" s="84">
        <v>43.15</v>
      </c>
      <c r="H34" s="84" t="s">
        <v>10</v>
      </c>
      <c r="I34" s="84">
        <v>35.57</v>
      </c>
    </row>
    <row r="35" spans="1:9" ht="13.8" x14ac:dyDescent="0.25">
      <c r="A35" s="27" t="s">
        <v>46</v>
      </c>
      <c r="B35" s="84">
        <v>37.79</v>
      </c>
      <c r="C35" s="84">
        <v>54.44</v>
      </c>
      <c r="D35" s="84" t="s">
        <v>10</v>
      </c>
      <c r="E35" s="84">
        <v>49.5</v>
      </c>
      <c r="F35" s="84">
        <v>98.75</v>
      </c>
      <c r="G35" s="84">
        <v>42.53</v>
      </c>
      <c r="H35" s="84">
        <v>41</v>
      </c>
      <c r="I35" s="84">
        <v>33.5</v>
      </c>
    </row>
    <row r="36" spans="1:9" ht="13.8" x14ac:dyDescent="0.25">
      <c r="A36" s="27" t="s">
        <v>47</v>
      </c>
      <c r="B36" s="84">
        <v>40.85</v>
      </c>
      <c r="C36" s="84">
        <v>59.2</v>
      </c>
      <c r="D36" s="84" t="s">
        <v>10</v>
      </c>
      <c r="E36" s="84">
        <v>51.65</v>
      </c>
      <c r="F36" s="84">
        <v>100</v>
      </c>
      <c r="G36" s="84">
        <v>41.48</v>
      </c>
      <c r="H36" s="84">
        <v>41</v>
      </c>
      <c r="I36" s="84">
        <v>36.380000000000003</v>
      </c>
    </row>
    <row r="37" spans="1:9" ht="13.8" x14ac:dyDescent="0.25">
      <c r="A37" s="27" t="s">
        <v>48</v>
      </c>
      <c r="B37" s="84">
        <v>44.31</v>
      </c>
      <c r="C37" s="84">
        <v>63.19</v>
      </c>
      <c r="D37" s="84" t="s">
        <v>10</v>
      </c>
      <c r="E37" s="84">
        <v>53.31</v>
      </c>
      <c r="F37" s="84">
        <v>90</v>
      </c>
      <c r="G37" s="84">
        <v>44.23</v>
      </c>
      <c r="H37" s="84" t="s">
        <v>10</v>
      </c>
      <c r="I37" s="84">
        <v>47.02</v>
      </c>
    </row>
    <row r="38" spans="1:9" ht="13.8" x14ac:dyDescent="0.25">
      <c r="A38" s="27" t="s">
        <v>49</v>
      </c>
      <c r="B38" s="84">
        <v>49.16</v>
      </c>
      <c r="C38" s="84">
        <v>75.5</v>
      </c>
      <c r="D38" s="84" t="s">
        <v>10</v>
      </c>
      <c r="E38" s="84">
        <v>59</v>
      </c>
      <c r="F38" s="84">
        <v>92</v>
      </c>
      <c r="G38" s="84">
        <v>44.64</v>
      </c>
      <c r="H38" s="84">
        <v>51</v>
      </c>
      <c r="I38" s="84">
        <v>54.5</v>
      </c>
    </row>
    <row r="39" spans="1:9" ht="13.8" x14ac:dyDescent="0.25">
      <c r="A39" s="27" t="s">
        <v>50</v>
      </c>
      <c r="B39" s="84">
        <v>59.25</v>
      </c>
      <c r="C39" s="63">
        <v>86.75</v>
      </c>
      <c r="D39" s="84" t="s">
        <v>10</v>
      </c>
      <c r="E39" s="84">
        <v>72.75</v>
      </c>
      <c r="F39" s="84">
        <v>110</v>
      </c>
      <c r="G39" s="84">
        <v>54</v>
      </c>
      <c r="H39" s="84">
        <v>56.5</v>
      </c>
      <c r="I39" s="84">
        <v>57</v>
      </c>
    </row>
    <row r="40" spans="1:9" ht="13.8" x14ac:dyDescent="0.25">
      <c r="A40" s="27" t="s">
        <v>51</v>
      </c>
      <c r="B40" s="84">
        <v>62.88</v>
      </c>
      <c r="C40" s="104">
        <v>91.625</v>
      </c>
      <c r="D40" s="84">
        <v>83</v>
      </c>
      <c r="E40" s="84">
        <v>81.625</v>
      </c>
      <c r="F40" s="84">
        <v>108.67</v>
      </c>
      <c r="G40" s="84">
        <v>78</v>
      </c>
      <c r="H40" s="84">
        <v>55.5</v>
      </c>
      <c r="I40" s="84">
        <v>58.75</v>
      </c>
    </row>
    <row r="41" spans="1:9" ht="13.8" x14ac:dyDescent="0.25">
      <c r="A41" s="23" t="s">
        <v>52</v>
      </c>
      <c r="B41" s="90">
        <v>74.75</v>
      </c>
      <c r="C41" s="146">
        <v>101.0625</v>
      </c>
      <c r="D41" s="90">
        <v>83</v>
      </c>
      <c r="E41" s="90">
        <v>93.0625</v>
      </c>
      <c r="F41" s="90">
        <v>110</v>
      </c>
      <c r="G41" s="90">
        <v>82.25</v>
      </c>
      <c r="H41" s="90">
        <v>63.25</v>
      </c>
      <c r="I41" s="90">
        <v>63.75</v>
      </c>
    </row>
    <row r="42" spans="1:9" ht="16.2" x14ac:dyDescent="0.25">
      <c r="A42" s="62" t="s">
        <v>137</v>
      </c>
      <c r="B42" s="97"/>
      <c r="C42" s="97"/>
      <c r="D42" s="97"/>
      <c r="E42" s="97"/>
      <c r="F42" s="97"/>
      <c r="G42" s="97"/>
      <c r="H42" s="97"/>
      <c r="I42" s="97"/>
    </row>
    <row r="43" spans="1:9" ht="16.2" x14ac:dyDescent="0.25">
      <c r="A43" s="24" t="s">
        <v>151</v>
      </c>
      <c r="B43" s="97"/>
      <c r="C43" s="97"/>
      <c r="D43" s="97"/>
      <c r="E43" s="97"/>
      <c r="F43" s="97"/>
      <c r="G43" s="97"/>
      <c r="H43" s="97"/>
      <c r="I43" s="97"/>
    </row>
    <row r="44" spans="1:9" ht="14.4" x14ac:dyDescent="0.3">
      <c r="A44" s="24" t="s">
        <v>194</v>
      </c>
      <c r="B44" s="24"/>
      <c r="C44" s="24"/>
      <c r="D44" s="24"/>
      <c r="E44" s="24"/>
      <c r="F44" s="97"/>
      <c r="G44" s="24"/>
      <c r="H44" s="24"/>
      <c r="I44" s="24"/>
    </row>
    <row r="45" spans="1:9" ht="13.8" x14ac:dyDescent="0.25">
      <c r="A45" s="28" t="s">
        <v>18</v>
      </c>
      <c r="B45" s="54">
        <f ca="1">NOW()</f>
        <v>44368.339088773151</v>
      </c>
      <c r="C45" s="24"/>
      <c r="D45" s="24"/>
      <c r="E45" s="24"/>
      <c r="F45" s="24"/>
      <c r="G45" s="24"/>
      <c r="H45" s="24"/>
      <c r="I45" s="24"/>
    </row>
    <row r="46" spans="1:9" ht="15.6" x14ac:dyDescent="0.3">
      <c r="C46" s="12"/>
      <c r="G46" s="12"/>
      <c r="H46" s="12"/>
      <c r="I46" s="12"/>
    </row>
    <row r="47" spans="1:9" ht="15.6" x14ac:dyDescent="0.3">
      <c r="C47" s="12"/>
      <c r="G47" s="12"/>
      <c r="H47" s="12"/>
      <c r="I47" s="12"/>
    </row>
    <row r="48" spans="1:9" ht="15.6" x14ac:dyDescent="0.3">
      <c r="C48" s="12"/>
      <c r="G48" s="12"/>
      <c r="H48" s="12"/>
      <c r="I48" s="12"/>
    </row>
    <row r="49" spans="3:9" ht="15.6" x14ac:dyDescent="0.3">
      <c r="C49" s="12"/>
      <c r="G49" s="12"/>
      <c r="H49" s="12"/>
      <c r="I49" s="12"/>
    </row>
    <row r="50" spans="3:9" ht="15.6" x14ac:dyDescent="0.3">
      <c r="C50" s="12"/>
      <c r="G50" s="12"/>
      <c r="H50" s="12"/>
      <c r="I50" s="12"/>
    </row>
    <row r="51" spans="3:9" ht="15.6" x14ac:dyDescent="0.3">
      <c r="C51" s="12"/>
      <c r="G51" s="12"/>
      <c r="H51" s="12"/>
      <c r="I51" s="12"/>
    </row>
    <row r="52" spans="3:9" ht="15.6" x14ac:dyDescent="0.3">
      <c r="C52" s="12"/>
      <c r="G52" s="12"/>
      <c r="H52" s="12"/>
      <c r="I52" s="12"/>
    </row>
    <row r="53" spans="3:9" ht="15.6" x14ac:dyDescent="0.3">
      <c r="C53" s="12"/>
      <c r="G53" s="12"/>
      <c r="H53" s="12"/>
      <c r="I53" s="12"/>
    </row>
    <row r="54" spans="3:9" ht="15.6" x14ac:dyDescent="0.3">
      <c r="C54" s="12"/>
      <c r="G54" s="12"/>
      <c r="H54" s="12"/>
      <c r="I54" s="12"/>
    </row>
    <row r="55" spans="3:9" ht="15.6" x14ac:dyDescent="0.3">
      <c r="C55" s="12"/>
      <c r="G55" s="12"/>
      <c r="H55" s="12"/>
      <c r="I55" s="12"/>
    </row>
    <row r="56" spans="3:9" ht="15.6" x14ac:dyDescent="0.3">
      <c r="C56" s="12"/>
      <c r="G56" s="12"/>
      <c r="H56" s="12"/>
      <c r="I56" s="12"/>
    </row>
    <row r="57" spans="3:9" ht="15.6" x14ac:dyDescent="0.3">
      <c r="C57" s="12"/>
      <c r="G57" s="12"/>
      <c r="H57" s="12"/>
      <c r="I57" s="12"/>
    </row>
    <row r="58" spans="3:9" ht="15.6" x14ac:dyDescent="0.3">
      <c r="C58" s="12"/>
      <c r="G58" s="12"/>
      <c r="H58" s="12"/>
      <c r="I58" s="12"/>
    </row>
    <row r="59" spans="3:9" ht="15.6" x14ac:dyDescent="0.3">
      <c r="C59" s="12"/>
      <c r="G59" s="12"/>
      <c r="H59" s="12"/>
      <c r="I59" s="12"/>
    </row>
    <row r="60" spans="3:9" ht="15.6" x14ac:dyDescent="0.3">
      <c r="C60" s="12"/>
      <c r="G60" s="12"/>
      <c r="H60" s="12"/>
      <c r="I60" s="12"/>
    </row>
    <row r="61" spans="3:9" ht="15.6" x14ac:dyDescent="0.3">
      <c r="C61" s="12"/>
      <c r="G61" s="12"/>
      <c r="H61" s="12"/>
      <c r="I61" s="12"/>
    </row>
    <row r="62" spans="3:9" ht="15.6" x14ac:dyDescent="0.3">
      <c r="C62" s="12"/>
      <c r="H62" s="12"/>
      <c r="I62" s="12"/>
    </row>
    <row r="63" spans="3:9" ht="15.6" x14ac:dyDescent="0.3">
      <c r="C63" s="12"/>
      <c r="H63" s="12"/>
      <c r="I63" s="12"/>
    </row>
    <row r="64" spans="3:9" ht="15.6" x14ac:dyDescent="0.3">
      <c r="C64" s="12"/>
      <c r="F64" s="14"/>
      <c r="H64" s="12"/>
      <c r="I64" s="12"/>
    </row>
    <row r="65" spans="6:9" ht="15.6" x14ac:dyDescent="0.3">
      <c r="F65" s="14"/>
      <c r="H65" s="12"/>
      <c r="I65" s="12"/>
    </row>
  </sheetData>
  <phoneticPr fontId="6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57"/>
  <sheetViews>
    <sheetView showGridLines="0" zoomScaleNormal="100" workbookViewId="0">
      <selection activeCell="J38" sqref="J38"/>
    </sheetView>
  </sheetViews>
  <sheetFormatPr defaultRowHeight="13.2" x14ac:dyDescent="0.25"/>
  <cols>
    <col min="1" max="1" width="11.77734375" customWidth="1"/>
    <col min="2" max="7" width="13.77734375" customWidth="1"/>
    <col min="8" max="8" width="10.109375" bestFit="1" customWidth="1"/>
    <col min="10" max="10" width="10.44140625" bestFit="1" customWidth="1"/>
    <col min="14" max="14" width="8.88671875" customWidth="1"/>
    <col min="15" max="15" width="18" bestFit="1" customWidth="1"/>
  </cols>
  <sheetData>
    <row r="1" spans="1:31" ht="13.8" x14ac:dyDescent="0.25">
      <c r="A1" s="23" t="s">
        <v>148</v>
      </c>
      <c r="B1" s="23"/>
      <c r="C1" s="23"/>
      <c r="D1" s="23"/>
      <c r="E1" s="23"/>
      <c r="F1" s="23"/>
      <c r="G1" s="23"/>
    </row>
    <row r="2" spans="1:31" ht="15.6" customHeight="1" x14ac:dyDescent="0.25">
      <c r="A2" s="27" t="s">
        <v>11</v>
      </c>
      <c r="B2" s="63" t="s">
        <v>35</v>
      </c>
      <c r="C2" s="98" t="s">
        <v>13</v>
      </c>
      <c r="D2" s="98" t="s">
        <v>68</v>
      </c>
      <c r="E2" s="98" t="s">
        <v>36</v>
      </c>
      <c r="F2" s="63" t="s">
        <v>37</v>
      </c>
      <c r="G2" s="26" t="s">
        <v>38</v>
      </c>
      <c r="AE2" s="159"/>
    </row>
    <row r="3" spans="1:31" ht="15.6" customHeight="1" x14ac:dyDescent="0.25">
      <c r="A3" s="23" t="s">
        <v>12</v>
      </c>
      <c r="B3" s="31" t="s">
        <v>112</v>
      </c>
      <c r="C3" s="31" t="s">
        <v>113</v>
      </c>
      <c r="D3" s="31" t="s">
        <v>114</v>
      </c>
      <c r="E3" s="31" t="s">
        <v>115</v>
      </c>
      <c r="F3" s="31" t="s">
        <v>116</v>
      </c>
      <c r="G3" s="31" t="s">
        <v>117</v>
      </c>
      <c r="AE3" s="159"/>
    </row>
    <row r="4" spans="1:31" ht="14.4" x14ac:dyDescent="0.3">
      <c r="A4" s="24"/>
      <c r="B4" s="43" t="s">
        <v>139</v>
      </c>
      <c r="C4" s="95"/>
      <c r="D4" s="95"/>
      <c r="E4" s="95"/>
      <c r="F4" s="95"/>
      <c r="G4" s="95"/>
      <c r="AE4" s="159"/>
    </row>
    <row r="5" spans="1:31" ht="13.8" x14ac:dyDescent="0.25">
      <c r="A5" s="24"/>
      <c r="B5" s="24"/>
      <c r="C5" s="24"/>
      <c r="D5" s="24"/>
      <c r="E5" s="24"/>
      <c r="F5" s="24"/>
      <c r="G5" s="24"/>
      <c r="AE5" s="159"/>
    </row>
    <row r="6" spans="1:31" ht="13.8" x14ac:dyDescent="0.25">
      <c r="A6" s="24" t="s">
        <v>43</v>
      </c>
      <c r="B6" s="84">
        <v>345.52</v>
      </c>
      <c r="C6" s="84">
        <v>273.83999999999997</v>
      </c>
      <c r="D6" s="84">
        <v>219.72</v>
      </c>
      <c r="E6" s="99" t="s">
        <v>10</v>
      </c>
      <c r="F6" s="84">
        <v>263.63</v>
      </c>
      <c r="G6" s="84">
        <v>240.65</v>
      </c>
      <c r="AE6" s="159"/>
    </row>
    <row r="7" spans="1:31" ht="13.8" x14ac:dyDescent="0.25">
      <c r="A7" s="24" t="s">
        <v>54</v>
      </c>
      <c r="B7" s="84">
        <v>393.53</v>
      </c>
      <c r="C7" s="84">
        <v>275.13</v>
      </c>
      <c r="D7" s="84">
        <v>246.75</v>
      </c>
      <c r="E7" s="99" t="s">
        <v>10</v>
      </c>
      <c r="F7" s="84">
        <v>307.58999999999997</v>
      </c>
      <c r="G7" s="84">
        <v>265.68</v>
      </c>
      <c r="AE7" s="159"/>
    </row>
    <row r="8" spans="1:31" ht="13.8" x14ac:dyDescent="0.25">
      <c r="A8" s="24" t="s">
        <v>69</v>
      </c>
      <c r="B8" s="84">
        <v>468.11</v>
      </c>
      <c r="C8" s="84">
        <v>331.52</v>
      </c>
      <c r="D8" s="84">
        <v>241.57</v>
      </c>
      <c r="E8" s="99" t="s">
        <v>10</v>
      </c>
      <c r="F8" s="84">
        <v>354.22</v>
      </c>
      <c r="G8" s="84">
        <v>329.31</v>
      </c>
      <c r="AE8" s="159"/>
    </row>
    <row r="9" spans="1:31" ht="13.8" x14ac:dyDescent="0.25">
      <c r="A9" s="24" t="s">
        <v>75</v>
      </c>
      <c r="B9" s="84">
        <v>489.94</v>
      </c>
      <c r="C9" s="84">
        <v>377.71</v>
      </c>
      <c r="D9" s="84">
        <v>238.87</v>
      </c>
      <c r="E9" s="99" t="s">
        <v>10</v>
      </c>
      <c r="F9" s="84">
        <v>359.7</v>
      </c>
      <c r="G9" s="84">
        <v>337.23</v>
      </c>
      <c r="AE9" s="159"/>
    </row>
    <row r="10" spans="1:31" ht="13.8" x14ac:dyDescent="0.25">
      <c r="A10" s="24" t="s">
        <v>78</v>
      </c>
      <c r="B10" s="84">
        <v>368.49</v>
      </c>
      <c r="C10" s="84">
        <v>304.27</v>
      </c>
      <c r="D10" s="84">
        <v>209.97</v>
      </c>
      <c r="E10" s="99" t="s">
        <v>10</v>
      </c>
      <c r="F10" s="84">
        <v>301.2</v>
      </c>
      <c r="G10" s="84">
        <v>256.58</v>
      </c>
      <c r="AE10" s="159"/>
    </row>
    <row r="11" spans="1:31" ht="13.8" x14ac:dyDescent="0.25">
      <c r="A11" s="24" t="s">
        <v>79</v>
      </c>
      <c r="B11" s="84">
        <v>324.56</v>
      </c>
      <c r="C11" s="84">
        <v>261.19</v>
      </c>
      <c r="D11" s="84">
        <v>153.16999999999999</v>
      </c>
      <c r="E11" s="99" t="s">
        <v>10</v>
      </c>
      <c r="F11" s="84">
        <v>262.2</v>
      </c>
      <c r="G11" s="84">
        <v>260.23</v>
      </c>
      <c r="AE11" s="159"/>
    </row>
    <row r="12" spans="1:31" ht="13.8" x14ac:dyDescent="0.25">
      <c r="A12" s="24" t="s">
        <v>91</v>
      </c>
      <c r="B12" s="84">
        <v>316.88</v>
      </c>
      <c r="C12" s="84">
        <v>208.61</v>
      </c>
      <c r="D12" s="84">
        <v>145.1</v>
      </c>
      <c r="E12" s="99" t="s">
        <v>10</v>
      </c>
      <c r="F12" s="84">
        <v>267.94</v>
      </c>
      <c r="G12" s="84">
        <v>282.49</v>
      </c>
      <c r="AE12" s="159"/>
    </row>
    <row r="13" spans="1:31" ht="13.8" x14ac:dyDescent="0.25">
      <c r="A13" s="24" t="s">
        <v>93</v>
      </c>
      <c r="B13" s="84">
        <v>345.02</v>
      </c>
      <c r="C13" s="84">
        <v>260.88</v>
      </c>
      <c r="D13" s="84">
        <v>173.53</v>
      </c>
      <c r="E13" s="99" t="s">
        <v>10</v>
      </c>
      <c r="F13" s="84">
        <v>291.14999999999998</v>
      </c>
      <c r="G13" s="84">
        <v>239.15</v>
      </c>
    </row>
    <row r="14" spans="1:31" ht="13.8" x14ac:dyDescent="0.25">
      <c r="A14" s="24" t="s">
        <v>118</v>
      </c>
      <c r="B14" s="84">
        <v>308.27999999999997</v>
      </c>
      <c r="C14" s="84">
        <v>228.64</v>
      </c>
      <c r="D14" s="104">
        <v>164.16</v>
      </c>
      <c r="E14" s="99" t="s">
        <v>10</v>
      </c>
      <c r="F14" s="84">
        <v>272.38</v>
      </c>
      <c r="G14" s="84">
        <v>225.77</v>
      </c>
    </row>
    <row r="15" spans="1:31" ht="13.8" x14ac:dyDescent="0.25">
      <c r="A15" s="24" t="s">
        <v>120</v>
      </c>
      <c r="B15" s="84">
        <v>299.5</v>
      </c>
      <c r="C15" s="84">
        <v>247.04</v>
      </c>
      <c r="D15" s="104">
        <v>187.7</v>
      </c>
      <c r="E15" s="99" t="s">
        <v>10</v>
      </c>
      <c r="F15" s="84">
        <v>273.99</v>
      </c>
      <c r="G15" s="84">
        <v>245.88</v>
      </c>
    </row>
    <row r="16" spans="1:31" ht="16.2" x14ac:dyDescent="0.25">
      <c r="A16" s="24" t="s">
        <v>123</v>
      </c>
      <c r="B16" s="84">
        <v>405</v>
      </c>
      <c r="C16" s="84">
        <v>400</v>
      </c>
      <c r="D16" s="104">
        <v>260</v>
      </c>
      <c r="E16" s="99" t="s">
        <v>10</v>
      </c>
      <c r="F16" s="84">
        <v>340</v>
      </c>
      <c r="G16" s="84">
        <v>305</v>
      </c>
    </row>
    <row r="17" spans="1:16" ht="16.2" x14ac:dyDescent="0.25">
      <c r="A17" s="24" t="s">
        <v>156</v>
      </c>
      <c r="B17" s="84">
        <v>400</v>
      </c>
      <c r="C17" s="84">
        <v>350</v>
      </c>
      <c r="D17" s="104">
        <v>240</v>
      </c>
      <c r="E17" s="99" t="s">
        <v>10</v>
      </c>
      <c r="F17" s="84">
        <v>340</v>
      </c>
      <c r="G17" s="84">
        <v>300</v>
      </c>
    </row>
    <row r="18" spans="1:16" ht="13.8" x14ac:dyDescent="0.25">
      <c r="A18" s="100"/>
      <c r="B18" s="84"/>
      <c r="C18" s="84"/>
      <c r="D18" s="84"/>
      <c r="E18" s="99"/>
      <c r="F18" s="84"/>
      <c r="G18" s="84"/>
      <c r="H18" s="11"/>
    </row>
    <row r="19" spans="1:16" ht="13.8" x14ac:dyDescent="0.25">
      <c r="A19" s="139" t="s">
        <v>120</v>
      </c>
      <c r="B19" s="84"/>
      <c r="C19" s="84"/>
      <c r="D19" s="84"/>
      <c r="E19" s="99"/>
      <c r="F19" s="84"/>
      <c r="G19" s="84"/>
      <c r="I19" s="5"/>
      <c r="J19" s="5"/>
      <c r="K19" s="5"/>
      <c r="L19" s="5"/>
      <c r="M19" s="5"/>
    </row>
    <row r="20" spans="1:16" ht="13.8" x14ac:dyDescent="0.25">
      <c r="A20" s="24" t="s">
        <v>45</v>
      </c>
      <c r="B20" s="84">
        <v>309.48</v>
      </c>
      <c r="C20" s="84">
        <v>213.13</v>
      </c>
      <c r="D20" s="84">
        <v>169</v>
      </c>
      <c r="E20" s="99" t="s">
        <v>10</v>
      </c>
      <c r="F20" s="84">
        <v>267.89999999999998</v>
      </c>
      <c r="G20" s="84">
        <v>226.5</v>
      </c>
      <c r="I20" s="5"/>
      <c r="J20" s="5"/>
      <c r="K20" s="5"/>
      <c r="L20" s="5"/>
      <c r="M20" s="5"/>
    </row>
    <row r="21" spans="1:16" ht="13.8" x14ac:dyDescent="0.25">
      <c r="A21" s="24" t="s">
        <v>46</v>
      </c>
      <c r="B21" s="84">
        <v>303.13</v>
      </c>
      <c r="C21" s="84">
        <v>233.75</v>
      </c>
      <c r="D21" s="84">
        <v>166.88</v>
      </c>
      <c r="E21" s="99" t="s">
        <v>10</v>
      </c>
      <c r="F21" s="84" t="s">
        <v>10</v>
      </c>
      <c r="G21" s="84">
        <v>226.88</v>
      </c>
      <c r="I21" s="5"/>
      <c r="J21" s="5"/>
      <c r="K21" s="5"/>
      <c r="L21" s="5"/>
      <c r="M21" s="5"/>
    </row>
    <row r="22" spans="1:16" ht="13.8" x14ac:dyDescent="0.25">
      <c r="A22" s="24" t="s">
        <v>47</v>
      </c>
      <c r="B22" s="84">
        <v>299.58999999999997</v>
      </c>
      <c r="C22" s="84">
        <v>250.83</v>
      </c>
      <c r="D22" s="84">
        <v>180</v>
      </c>
      <c r="E22" s="99" t="s">
        <v>10</v>
      </c>
      <c r="F22" s="84" t="s">
        <v>10</v>
      </c>
      <c r="G22" s="84">
        <f>(235+227.5+232.5)/3</f>
        <v>231.66666666666666</v>
      </c>
      <c r="I22" s="5"/>
      <c r="J22" s="5"/>
      <c r="K22" s="5"/>
      <c r="L22" s="5"/>
      <c r="M22" s="5"/>
    </row>
    <row r="23" spans="1:16" ht="13.8" x14ac:dyDescent="0.25">
      <c r="A23" s="24" t="s">
        <v>48</v>
      </c>
      <c r="B23" s="84">
        <v>300.11</v>
      </c>
      <c r="C23" s="84">
        <v>239.38</v>
      </c>
      <c r="D23" s="84">
        <v>185</v>
      </c>
      <c r="E23" s="99" t="s">
        <v>10</v>
      </c>
      <c r="F23" s="84" t="s">
        <v>10</v>
      </c>
      <c r="G23" s="84">
        <v>248.13</v>
      </c>
      <c r="I23" s="5"/>
      <c r="J23" s="5"/>
      <c r="K23" s="5"/>
      <c r="L23" s="5"/>
      <c r="M23" s="5"/>
    </row>
    <row r="24" spans="1:16" ht="13.8" x14ac:dyDescent="0.25">
      <c r="A24" s="24" t="s">
        <v>49</v>
      </c>
      <c r="B24" s="84">
        <v>295.27999999999997</v>
      </c>
      <c r="C24" s="84">
        <v>250.63</v>
      </c>
      <c r="D24" s="84">
        <v>188.13</v>
      </c>
      <c r="E24" s="99" t="s">
        <v>10</v>
      </c>
      <c r="F24" s="84">
        <v>253.67</v>
      </c>
      <c r="G24" s="84">
        <v>262.5</v>
      </c>
      <c r="I24" s="5"/>
      <c r="J24" s="5"/>
      <c r="K24" s="5"/>
    </row>
    <row r="25" spans="1:16" ht="13.8" x14ac:dyDescent="0.25">
      <c r="A25" s="24" t="s">
        <v>50</v>
      </c>
      <c r="B25" s="84">
        <v>312.38</v>
      </c>
      <c r="C25" s="84">
        <v>259</v>
      </c>
      <c r="D25" s="84">
        <v>180</v>
      </c>
      <c r="E25" s="99" t="s">
        <v>10</v>
      </c>
      <c r="F25" s="84">
        <v>274.75</v>
      </c>
      <c r="G25" s="84">
        <v>263</v>
      </c>
      <c r="I25" s="5"/>
      <c r="J25" s="5"/>
      <c r="K25" s="5"/>
    </row>
    <row r="26" spans="1:16" ht="13.8" x14ac:dyDescent="0.25">
      <c r="A26" s="24" t="s">
        <v>51</v>
      </c>
      <c r="B26" s="84">
        <v>295.39999999999998</v>
      </c>
      <c r="C26" s="84">
        <v>281.88</v>
      </c>
      <c r="D26" s="84">
        <v>183.75</v>
      </c>
      <c r="E26" s="99" t="s">
        <v>10</v>
      </c>
      <c r="F26" s="84">
        <v>274.52999999999997</v>
      </c>
      <c r="G26" s="84">
        <v>260</v>
      </c>
      <c r="I26" s="5"/>
      <c r="J26" s="5"/>
      <c r="K26" s="5"/>
      <c r="L26" s="5"/>
      <c r="M26" s="5"/>
    </row>
    <row r="27" spans="1:16" ht="13.8" x14ac:dyDescent="0.25">
      <c r="A27" s="24" t="s">
        <v>52</v>
      </c>
      <c r="B27" s="84">
        <v>288.56</v>
      </c>
      <c r="C27" s="84">
        <v>251.88</v>
      </c>
      <c r="D27" s="84">
        <v>180.63</v>
      </c>
      <c r="E27" s="99" t="s">
        <v>10</v>
      </c>
      <c r="F27" s="84">
        <v>276.25</v>
      </c>
      <c r="G27" s="84">
        <v>257.5</v>
      </c>
      <c r="I27" s="5"/>
      <c r="J27" s="5"/>
      <c r="K27" s="5"/>
      <c r="L27" s="5"/>
      <c r="M27" s="5"/>
    </row>
    <row r="28" spans="1:16" ht="13.8" x14ac:dyDescent="0.25">
      <c r="A28" s="24" t="s">
        <v>53</v>
      </c>
      <c r="B28" s="84">
        <v>288.66000000000003</v>
      </c>
      <c r="C28" s="84">
        <v>245.5</v>
      </c>
      <c r="D28" s="84">
        <v>187.5</v>
      </c>
      <c r="E28" s="99" t="s">
        <v>10</v>
      </c>
      <c r="F28" s="84">
        <v>270.02999999999997</v>
      </c>
      <c r="G28" s="84">
        <v>245.63</v>
      </c>
      <c r="I28" s="5"/>
      <c r="J28" s="5"/>
      <c r="K28" s="5"/>
    </row>
    <row r="29" spans="1:16" ht="13.8" x14ac:dyDescent="0.25">
      <c r="A29" s="24" t="s">
        <v>55</v>
      </c>
      <c r="B29" s="84">
        <v>291.25</v>
      </c>
      <c r="C29" s="84">
        <v>245</v>
      </c>
      <c r="D29" s="84">
        <v>202.5</v>
      </c>
      <c r="E29" s="99" t="s">
        <v>10</v>
      </c>
      <c r="F29" s="84">
        <v>271.11</v>
      </c>
      <c r="G29" s="84">
        <v>250</v>
      </c>
      <c r="I29" s="5"/>
      <c r="J29" s="5"/>
      <c r="K29" s="5"/>
    </row>
    <row r="30" spans="1:16" ht="15" x14ac:dyDescent="0.25">
      <c r="A30" s="24" t="s">
        <v>56</v>
      </c>
      <c r="B30" s="84">
        <v>290.18</v>
      </c>
      <c r="C30" s="84">
        <v>245</v>
      </c>
      <c r="D30" s="84">
        <v>217.5</v>
      </c>
      <c r="E30" s="99" t="s">
        <v>10</v>
      </c>
      <c r="F30" s="84">
        <v>281.08999999999997</v>
      </c>
      <c r="G30" s="84">
        <v>251.75</v>
      </c>
      <c r="I30" s="5"/>
      <c r="J30" s="5"/>
      <c r="K30" s="5"/>
      <c r="L30" s="125"/>
      <c r="M30" s="5"/>
    </row>
    <row r="31" spans="1:16" ht="15" x14ac:dyDescent="0.25">
      <c r="A31" s="24" t="s">
        <v>58</v>
      </c>
      <c r="B31" s="84">
        <v>319.99</v>
      </c>
      <c r="C31" s="84">
        <v>248.5</v>
      </c>
      <c r="D31" s="84">
        <v>211.5</v>
      </c>
      <c r="E31" s="99" t="s">
        <v>10</v>
      </c>
      <c r="F31" s="84">
        <v>296.60000000000002</v>
      </c>
      <c r="G31" s="84">
        <v>227</v>
      </c>
      <c r="I31" s="5"/>
      <c r="J31" s="5"/>
      <c r="K31" s="5"/>
      <c r="P31" s="125"/>
    </row>
    <row r="32" spans="1:16" ht="15" x14ac:dyDescent="0.25">
      <c r="A32" s="27"/>
      <c r="B32" s="84"/>
      <c r="C32" s="84"/>
      <c r="D32" s="84"/>
      <c r="E32" s="99"/>
      <c r="F32" s="84"/>
      <c r="G32" s="84"/>
      <c r="I32" s="5"/>
      <c r="J32" s="5"/>
      <c r="K32" s="5"/>
      <c r="L32" s="5"/>
      <c r="M32" s="5"/>
      <c r="P32" s="125"/>
    </row>
    <row r="33" spans="1:16" ht="15" x14ac:dyDescent="0.25">
      <c r="A33" s="139" t="s">
        <v>128</v>
      </c>
      <c r="B33" s="84"/>
      <c r="C33" s="84"/>
      <c r="D33" s="84"/>
      <c r="E33" s="99"/>
      <c r="F33" s="84"/>
      <c r="G33" s="84"/>
      <c r="I33" s="147"/>
      <c r="J33" s="125"/>
      <c r="K33" s="125"/>
      <c r="L33" s="5"/>
      <c r="M33" s="5"/>
      <c r="P33" s="125"/>
    </row>
    <row r="34" spans="1:16" ht="15" x14ac:dyDescent="0.25">
      <c r="A34" s="24" t="s">
        <v>45</v>
      </c>
      <c r="B34" s="84">
        <v>366.62</v>
      </c>
      <c r="C34" s="84">
        <v>301.88</v>
      </c>
      <c r="D34" s="84">
        <v>211.25</v>
      </c>
      <c r="E34" s="99" t="s">
        <v>10</v>
      </c>
      <c r="F34" s="84">
        <v>327.24</v>
      </c>
      <c r="G34" s="84">
        <v>239.375</v>
      </c>
      <c r="H34" s="148"/>
      <c r="I34" s="5"/>
      <c r="J34" s="139"/>
      <c r="K34" s="125"/>
      <c r="L34" s="5"/>
      <c r="M34" s="5"/>
      <c r="P34" s="125"/>
    </row>
    <row r="35" spans="1:16" ht="15" x14ac:dyDescent="0.25">
      <c r="A35" s="24" t="s">
        <v>46</v>
      </c>
      <c r="B35" s="84">
        <v>387.83</v>
      </c>
      <c r="C35" s="84">
        <v>365.63</v>
      </c>
      <c r="D35" s="84">
        <v>213.13</v>
      </c>
      <c r="E35" s="99" t="s">
        <v>10</v>
      </c>
      <c r="F35" s="84">
        <v>297.64999999999998</v>
      </c>
      <c r="G35" s="84">
        <v>255</v>
      </c>
      <c r="H35" s="148"/>
      <c r="I35" s="5"/>
      <c r="J35" s="24"/>
      <c r="K35" s="125"/>
      <c r="L35" s="5"/>
      <c r="M35" s="5"/>
    </row>
    <row r="36" spans="1:16" ht="15" x14ac:dyDescent="0.25">
      <c r="A36" s="24" t="s">
        <v>47</v>
      </c>
      <c r="B36" s="84">
        <v>396.68</v>
      </c>
      <c r="C36" s="84">
        <v>425</v>
      </c>
      <c r="D36" s="84">
        <v>252.5</v>
      </c>
      <c r="E36" s="99" t="s">
        <v>10</v>
      </c>
      <c r="F36" s="84">
        <v>296.2</v>
      </c>
      <c r="G36" s="84">
        <v>275</v>
      </c>
      <c r="H36" s="148"/>
      <c r="I36" s="5"/>
      <c r="J36" s="24"/>
      <c r="K36" s="125"/>
      <c r="L36" s="5"/>
    </row>
    <row r="37" spans="1:16" ht="15" x14ac:dyDescent="0.25">
      <c r="A37" s="27" t="s">
        <v>48</v>
      </c>
      <c r="B37" s="84">
        <v>439.24</v>
      </c>
      <c r="C37" s="84">
        <v>443.75</v>
      </c>
      <c r="D37" s="84">
        <v>280.63</v>
      </c>
      <c r="E37" s="99" t="s">
        <v>10</v>
      </c>
      <c r="F37" s="84">
        <v>387.43</v>
      </c>
      <c r="G37" s="84">
        <v>313.125</v>
      </c>
      <c r="I37" s="5"/>
      <c r="J37" s="24"/>
      <c r="K37" s="125"/>
      <c r="L37" s="125"/>
      <c r="M37" s="125"/>
      <c r="N37" s="125"/>
    </row>
    <row r="38" spans="1:16" ht="15" x14ac:dyDescent="0.3">
      <c r="A38" s="27" t="s">
        <v>49</v>
      </c>
      <c r="B38" s="84">
        <v>427.28</v>
      </c>
      <c r="C38" s="84">
        <v>460</v>
      </c>
      <c r="D38" s="84">
        <v>298.75</v>
      </c>
      <c r="E38" s="99" t="s">
        <v>10</v>
      </c>
      <c r="F38" s="84">
        <v>376.07499999999999</v>
      </c>
      <c r="G38" s="84">
        <v>296.25</v>
      </c>
      <c r="I38" s="5"/>
      <c r="J38" s="162"/>
      <c r="K38" s="125"/>
      <c r="L38" s="5"/>
      <c r="M38" s="5"/>
      <c r="O38" s="125"/>
    </row>
    <row r="39" spans="1:16" ht="15" x14ac:dyDescent="0.25">
      <c r="A39" s="27" t="s">
        <v>50</v>
      </c>
      <c r="B39" s="84">
        <v>410.02</v>
      </c>
      <c r="C39" s="84">
        <v>456</v>
      </c>
      <c r="D39" s="84">
        <v>278.5</v>
      </c>
      <c r="E39" s="99" t="s">
        <v>10</v>
      </c>
      <c r="F39" s="84">
        <v>365.14</v>
      </c>
      <c r="G39" s="84">
        <v>322</v>
      </c>
      <c r="I39" s="5"/>
      <c r="J39" s="27"/>
      <c r="K39" s="5"/>
      <c r="L39" s="5"/>
      <c r="M39" s="5"/>
      <c r="O39" s="125"/>
    </row>
    <row r="40" spans="1:16" ht="15" x14ac:dyDescent="0.25">
      <c r="A40" s="27" t="s">
        <v>51</v>
      </c>
      <c r="B40" s="84">
        <v>413.36</v>
      </c>
      <c r="C40" s="84">
        <v>415</v>
      </c>
      <c r="D40" s="84">
        <v>258.125</v>
      </c>
      <c r="E40" s="99" t="s">
        <v>10</v>
      </c>
      <c r="F40" s="84">
        <v>377.57499999999999</v>
      </c>
      <c r="G40" s="84">
        <v>318.75</v>
      </c>
      <c r="I40" s="139"/>
      <c r="J40" s="27"/>
      <c r="K40" s="5"/>
      <c r="L40" s="5"/>
      <c r="M40" s="5"/>
      <c r="O40" s="125"/>
    </row>
    <row r="41" spans="1:16" ht="15" x14ac:dyDescent="0.25">
      <c r="A41" s="23" t="s">
        <v>52</v>
      </c>
      <c r="B41" s="90">
        <v>421.02499999999998</v>
      </c>
      <c r="C41" s="90">
        <v>360.625</v>
      </c>
      <c r="D41" s="90">
        <v>265</v>
      </c>
      <c r="E41" s="101" t="s">
        <v>10</v>
      </c>
      <c r="F41" s="90">
        <v>391.45</v>
      </c>
      <c r="G41" s="90">
        <v>335.63</v>
      </c>
      <c r="I41" s="24"/>
      <c r="J41" s="27"/>
      <c r="K41" s="5"/>
      <c r="L41" s="5"/>
      <c r="M41" s="5"/>
      <c r="O41" s="125"/>
    </row>
    <row r="42" spans="1:16" ht="16.2" x14ac:dyDescent="0.25">
      <c r="A42" s="62" t="s">
        <v>193</v>
      </c>
      <c r="B42" s="102"/>
      <c r="C42" s="102"/>
      <c r="D42" s="102"/>
      <c r="E42" s="102"/>
      <c r="F42" s="102"/>
      <c r="G42" s="102"/>
      <c r="I42" s="24"/>
      <c r="J42" s="23"/>
      <c r="K42" s="5"/>
      <c r="L42" s="5"/>
      <c r="M42" s="5"/>
    </row>
    <row r="43" spans="1:16" ht="16.2" x14ac:dyDescent="0.25">
      <c r="A43" s="62" t="s">
        <v>152</v>
      </c>
      <c r="B43" s="103"/>
      <c r="C43" s="103"/>
      <c r="D43" s="103"/>
      <c r="E43" s="103"/>
      <c r="F43" s="103"/>
      <c r="G43" s="103"/>
      <c r="I43" s="24"/>
      <c r="J43" s="84"/>
      <c r="K43" s="5"/>
      <c r="L43" s="5"/>
      <c r="M43" s="5"/>
    </row>
    <row r="44" spans="1:16" ht="13.8" x14ac:dyDescent="0.25">
      <c r="A44" s="24" t="s">
        <v>44</v>
      </c>
      <c r="B44" s="103"/>
      <c r="C44" s="103"/>
      <c r="D44" s="103"/>
      <c r="E44" s="103"/>
      <c r="F44" s="103"/>
      <c r="G44" s="103"/>
      <c r="H44" s="1"/>
      <c r="I44" s="27"/>
      <c r="J44" s="84"/>
      <c r="K44" s="5"/>
      <c r="L44" s="5"/>
      <c r="M44" s="5"/>
    </row>
    <row r="45" spans="1:16" ht="14.4" x14ac:dyDescent="0.3">
      <c r="A45" s="24" t="s">
        <v>195</v>
      </c>
      <c r="B45" s="24"/>
      <c r="C45" s="24"/>
      <c r="D45" s="24"/>
      <c r="E45" s="24"/>
      <c r="F45" s="103"/>
      <c r="G45" s="103"/>
      <c r="I45" s="27"/>
      <c r="J45" s="84"/>
      <c r="K45" s="5"/>
      <c r="L45" s="5"/>
      <c r="M45" s="5"/>
    </row>
    <row r="46" spans="1:16" ht="13.8" x14ac:dyDescent="0.25">
      <c r="A46" s="28" t="s">
        <v>18</v>
      </c>
      <c r="B46" s="54">
        <f ca="1">NOW()</f>
        <v>44368.339088773151</v>
      </c>
      <c r="C46" s="24"/>
      <c r="D46" s="24"/>
      <c r="E46" s="24"/>
      <c r="F46" s="103"/>
      <c r="G46" s="103"/>
      <c r="I46" s="27"/>
      <c r="J46" s="84"/>
      <c r="K46" s="6"/>
      <c r="L46" s="6"/>
      <c r="M46" s="6"/>
    </row>
    <row r="47" spans="1:16" ht="13.8" x14ac:dyDescent="0.25">
      <c r="F47" s="103"/>
      <c r="G47" s="103"/>
      <c r="I47" s="27"/>
      <c r="J47" s="84"/>
      <c r="K47" s="6"/>
      <c r="L47" s="6"/>
      <c r="M47" s="6"/>
    </row>
    <row r="48" spans="1:16" ht="13.8" x14ac:dyDescent="0.25">
      <c r="F48" s="103"/>
      <c r="G48" s="103"/>
      <c r="I48" s="27"/>
      <c r="J48" s="84"/>
      <c r="K48" s="5"/>
      <c r="L48" s="5"/>
      <c r="M48" s="5"/>
    </row>
    <row r="49" spans="9:13" x14ac:dyDescent="0.25">
      <c r="I49" s="10"/>
      <c r="J49" s="10"/>
      <c r="K49" s="5"/>
      <c r="L49" s="5"/>
      <c r="M49" s="5"/>
    </row>
    <row r="50" spans="9:13" x14ac:dyDescent="0.25">
      <c r="I50" s="9"/>
      <c r="J50" s="9"/>
      <c r="K50" s="5"/>
      <c r="L50" s="5"/>
      <c r="M50" s="5"/>
    </row>
    <row r="51" spans="9:13" x14ac:dyDescent="0.25">
      <c r="I51" s="9"/>
      <c r="J51" s="9"/>
      <c r="K51" s="5"/>
      <c r="L51" s="5"/>
      <c r="M51" s="5"/>
    </row>
    <row r="52" spans="9:13" x14ac:dyDescent="0.25">
      <c r="I52" s="9"/>
      <c r="J52" s="9"/>
      <c r="K52" s="5"/>
      <c r="L52" s="5"/>
      <c r="M52" s="5"/>
    </row>
    <row r="53" spans="9:13" x14ac:dyDescent="0.25">
      <c r="I53" s="9"/>
      <c r="J53" s="9"/>
      <c r="K53" s="5"/>
      <c r="L53" s="5"/>
      <c r="M53" s="5"/>
    </row>
    <row r="55" spans="9:13" x14ac:dyDescent="0.25">
      <c r="I55" s="7"/>
      <c r="J55" s="7"/>
      <c r="K55" s="7"/>
      <c r="L55" s="7"/>
      <c r="M55" s="7"/>
    </row>
    <row r="56" spans="9:13" x14ac:dyDescent="0.25">
      <c r="I56" s="7"/>
      <c r="J56" s="7"/>
      <c r="K56" s="7"/>
      <c r="L56" s="7"/>
      <c r="M56" s="7"/>
    </row>
    <row r="57" spans="9:13" x14ac:dyDescent="0.25">
      <c r="J57" s="7"/>
    </row>
  </sheetData>
  <phoneticPr fontId="6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0063A-9064-430D-ADEA-30D484D9AB71}">
  <dimension ref="A1:C18"/>
  <sheetViews>
    <sheetView zoomScale="63" zoomScaleNormal="80" workbookViewId="0">
      <selection activeCell="L30" sqref="L30"/>
    </sheetView>
  </sheetViews>
  <sheetFormatPr defaultRowHeight="16.2" x14ac:dyDescent="0.35"/>
  <cols>
    <col min="1" max="1" width="17.33203125" style="151" bestFit="1" customWidth="1"/>
    <col min="2" max="2" width="43.5546875" style="151" bestFit="1" customWidth="1"/>
    <col min="3" max="3" width="39.6640625" style="151" bestFit="1" customWidth="1"/>
    <col min="4" max="16384" width="8.88671875" style="151"/>
  </cols>
  <sheetData>
    <row r="1" spans="1:3" x14ac:dyDescent="0.35">
      <c r="A1" s="150" t="s">
        <v>185</v>
      </c>
      <c r="B1" s="150" t="s">
        <v>183</v>
      </c>
      <c r="C1" s="150" t="s">
        <v>184</v>
      </c>
    </row>
    <row r="2" spans="1:3" x14ac:dyDescent="0.35">
      <c r="A2" s="151" t="s">
        <v>163</v>
      </c>
      <c r="B2" s="152">
        <v>32696</v>
      </c>
      <c r="C2" s="152">
        <v>123400</v>
      </c>
    </row>
    <row r="3" spans="1:3" x14ac:dyDescent="0.35">
      <c r="A3" s="151" t="s">
        <v>164</v>
      </c>
      <c r="B3" s="152">
        <v>32472</v>
      </c>
      <c r="C3" s="152">
        <v>119700</v>
      </c>
    </row>
    <row r="4" spans="1:3" x14ac:dyDescent="0.35">
      <c r="A4" s="151" t="s">
        <v>165</v>
      </c>
      <c r="B4" s="152">
        <v>20736</v>
      </c>
      <c r="C4" s="152">
        <v>128500</v>
      </c>
    </row>
    <row r="5" spans="1:3" x14ac:dyDescent="0.35">
      <c r="A5" s="151" t="s">
        <v>166</v>
      </c>
      <c r="B5" s="152">
        <v>23036</v>
      </c>
      <c r="C5" s="152">
        <v>137000</v>
      </c>
    </row>
    <row r="6" spans="1:3" x14ac:dyDescent="0.35">
      <c r="A6" s="151" t="s">
        <v>167</v>
      </c>
      <c r="B6" s="152">
        <v>24335</v>
      </c>
      <c r="C6" s="152">
        <v>144000</v>
      </c>
    </row>
    <row r="18" spans="1:1" x14ac:dyDescent="0.35">
      <c r="A18" s="138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711008381A4489560F302ED63725A" ma:contentTypeVersion="11" ma:contentTypeDescription="Create a new document." ma:contentTypeScope="" ma:versionID="887cff17742744b02a1c83dd32c3b354">
  <xsd:schema xmlns:xsd="http://www.w3.org/2001/XMLSchema" xmlns:xs="http://www.w3.org/2001/XMLSchema" xmlns:p="http://schemas.microsoft.com/office/2006/metadata/properties" xmlns:ns3="642c2d5b-b5cd-4c4f-95a0-231891633038" xmlns:ns4="9d29759f-fdc3-4b89-93e8-7a818e788e93" targetNamespace="http://schemas.microsoft.com/office/2006/metadata/properties" ma:root="true" ma:fieldsID="eca4ca4c91a3a67dac508b2f26fcc458" ns3:_="" ns4:_="">
    <xsd:import namespace="642c2d5b-b5cd-4c4f-95a0-231891633038"/>
    <xsd:import namespace="9d29759f-fdc3-4b89-93e8-7a818e788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2d5b-b5cd-4c4f-95a0-231891633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9759f-fdc3-4b89-93e8-7a818e788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purl.org/dc/terms/"/>
    <ds:schemaRef ds:uri="9d29759f-fdc3-4b89-93e8-7a818e788e93"/>
    <ds:schemaRef ds:uri="http://purl.org/dc/elements/1.1/"/>
    <ds:schemaRef ds:uri="http://schemas.microsoft.com/office/2006/documentManagement/types"/>
    <ds:schemaRef ds:uri="http://www.w3.org/XML/1998/namespace"/>
    <ds:schemaRef ds:uri="642c2d5b-b5cd-4c4f-95a0-231891633038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D11575-6B8F-46EE-93E0-60356AADF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2d5b-b5cd-4c4f-95a0-231891633038"/>
    <ds:schemaRef ds:uri="9d29759f-fdc3-4b89-93e8-7a818e788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 Gallery Fig 1</vt:lpstr>
      <vt:lpstr>Oil Crops Char Gallery Fig  2</vt:lpstr>
      <vt:lpstr>Oil Crops Char Gallery Fig  3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‏‏‎ ‎candice wilson;Todd Hubbs;Dana Golden;‏‏‎ ‎kate vaiknoras</dc:creator>
  <cp:keywords>soybeans, cottonseed, sunflower, peanuts, canola, supply, disappearance, price, USDA, U.S. Department of Agriculture, ERS, Economic Research Service</cp:keywords>
  <dc:description/>
  <cp:lastModifiedBy>Golden, Dana - REE-ERS, Kansas City, MO</cp:lastModifiedBy>
  <cp:lastPrinted>2014-11-10T20:35:48Z</cp:lastPrinted>
  <dcterms:created xsi:type="dcterms:W3CDTF">2001-11-13T16:22:15Z</dcterms:created>
  <dcterms:modified xsi:type="dcterms:W3CDTF">2021-06-21T13:08:44Z</dcterms:modified>
  <cp:category>Oilseeds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0x010100509711008381A4489560F302ED63725A</vt:lpwstr>
  </property>
</Properties>
</file>