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014E518B-04C3-4668-8BF6-144B24096AC3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26" r:id="rId9"/>
    <sheet name="Oil Crops Char Gallery Fig 1" sheetId="24" r:id="rId10"/>
    <sheet name="Oil Crops Char Gallery Fig 2" sheetId="25" r:id="rId11"/>
  </sheets>
  <definedNames>
    <definedName name="_xlnm.Print_Area" localSheetId="1">'Table 1'!$A$1:$N$43</definedName>
    <definedName name="_xlnm.Print_Area" localSheetId="7">'Table 10'!$A$1:$G$43</definedName>
    <definedName name="_xlnm.Print_Area" localSheetId="2">'Table 2'!$A$1:$J$34</definedName>
    <definedName name="_xlnm.Print_Area" localSheetId="3">'Table 3'!$A$1:$M$48</definedName>
    <definedName name="_xlnm.Print_Area" localSheetId="5">'Table 8'!$A$1:$G$41</definedName>
    <definedName name="_xlnm.Print_Area" localSheetId="6">'Table 9'!$A$1:$I$43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9" l="1"/>
  <c r="H12" i="9" l="1"/>
  <c r="H13" i="9"/>
  <c r="H14" i="9"/>
  <c r="H15" i="9"/>
  <c r="H16" i="9"/>
  <c r="H17" i="9"/>
  <c r="H18" i="9"/>
  <c r="H19" i="9"/>
  <c r="H20" i="9"/>
  <c r="H21" i="9"/>
  <c r="H22" i="9"/>
  <c r="M8" i="1"/>
  <c r="A5" i="10" l="1"/>
  <c r="F7" i="1" l="1"/>
  <c r="H8" i="1"/>
  <c r="K8" i="1" s="1"/>
  <c r="L39" i="1" l="1"/>
  <c r="G39" i="1"/>
  <c r="K32" i="9"/>
  <c r="J32" i="9"/>
  <c r="H32" i="9"/>
  <c r="G32" i="9"/>
  <c r="D32" i="9"/>
  <c r="C32" i="9"/>
  <c r="I32" i="2"/>
  <c r="H32" i="2"/>
  <c r="G32" i="2"/>
  <c r="C32" i="2"/>
  <c r="D32" i="2"/>
  <c r="D31" i="2"/>
  <c r="H31" i="2"/>
  <c r="D31" i="9"/>
  <c r="J31" i="9"/>
  <c r="L31" i="9"/>
  <c r="I30" i="9" l="1"/>
  <c r="E31" i="9"/>
  <c r="K31" i="9" s="1"/>
  <c r="G31" i="9" s="1"/>
  <c r="B31" i="9"/>
  <c r="C31" i="2"/>
  <c r="B31" i="2"/>
  <c r="E31" i="2"/>
  <c r="I31" i="2" s="1"/>
  <c r="G31" i="2" s="1"/>
  <c r="J31" i="2"/>
  <c r="E8" i="2"/>
  <c r="I8" i="2" s="1"/>
  <c r="G8" i="2" s="1"/>
  <c r="E7" i="2"/>
  <c r="B8" i="2"/>
  <c r="E8" i="9"/>
  <c r="K8" i="9" s="1"/>
  <c r="G8" i="9" s="1"/>
  <c r="B8" i="3" l="1"/>
  <c r="E8" i="3" s="1"/>
  <c r="J8" i="3" s="1"/>
  <c r="I8" i="3" s="1"/>
  <c r="E21" i="3"/>
  <c r="B33" i="3"/>
  <c r="E33" i="3" s="1"/>
  <c r="I33" i="3" s="1"/>
  <c r="G33" i="3" s="1"/>
  <c r="E46" i="3"/>
  <c r="H46" i="3" s="1"/>
  <c r="N46" i="3" s="1"/>
  <c r="D45" i="3"/>
  <c r="J30" i="9" l="1"/>
  <c r="L30" i="9"/>
  <c r="D30" i="9"/>
  <c r="D30" i="2"/>
  <c r="H30" i="2"/>
  <c r="C30" i="2"/>
  <c r="J29" i="2"/>
  <c r="B30" i="2" s="1"/>
  <c r="J30" i="2"/>
  <c r="J36" i="1"/>
  <c r="J37" i="1"/>
  <c r="E38" i="1"/>
  <c r="G37" i="1"/>
  <c r="L37" i="1"/>
  <c r="E30" i="2" l="1"/>
  <c r="I30" i="2" s="1"/>
  <c r="G30" i="2" s="1"/>
  <c r="D11" i="2"/>
  <c r="C11" i="2"/>
  <c r="E7" i="9" l="1"/>
  <c r="K7" i="9" s="1"/>
  <c r="G7" i="9" s="1"/>
  <c r="H23" i="9"/>
  <c r="E20" i="3"/>
  <c r="H29" i="2"/>
  <c r="D29" i="2"/>
  <c r="L29" i="9"/>
  <c r="B30" i="9" s="1"/>
  <c r="E30" i="9" s="1"/>
  <c r="K30" i="9" s="1"/>
  <c r="G30" i="9" s="1"/>
  <c r="D29" i="9"/>
  <c r="J29" i="9"/>
  <c r="G36" i="1"/>
  <c r="L36" i="1"/>
  <c r="C29" i="2" l="1"/>
  <c r="B44" i="5" l="1"/>
  <c r="D28" i="9" l="1"/>
  <c r="J28" i="9"/>
  <c r="H28" i="2" l="1"/>
  <c r="D28" i="2"/>
  <c r="L35" i="1"/>
  <c r="L38" i="1" s="1"/>
  <c r="G35" i="1"/>
  <c r="G38" i="1" s="1"/>
  <c r="H38" i="1" s="1"/>
  <c r="M38" i="1" s="1"/>
  <c r="J28" i="2" l="1"/>
  <c r="B29" i="2" s="1"/>
  <c r="E29" i="2" s="1"/>
  <c r="I29" i="2" s="1"/>
  <c r="G29" i="2" s="1"/>
  <c r="C28" i="2"/>
  <c r="L28" i="9"/>
  <c r="B29" i="9" s="1"/>
  <c r="E29" i="9" s="1"/>
  <c r="K29" i="9" s="1"/>
  <c r="G29" i="9" s="1"/>
  <c r="I29" i="9" s="1"/>
  <c r="J35" i="1"/>
  <c r="J38" i="1" s="1"/>
  <c r="K38" i="1" s="1"/>
  <c r="F40" i="1"/>
  <c r="J22" i="9" l="1"/>
  <c r="J27" i="9" l="1"/>
  <c r="D27" i="9"/>
  <c r="H27" i="2"/>
  <c r="D27" i="2"/>
  <c r="L33" i="1"/>
  <c r="G33" i="1"/>
  <c r="L27" i="9" l="1"/>
  <c r="B28" i="9" s="1"/>
  <c r="E28" i="9" s="1"/>
  <c r="K28" i="9" s="1"/>
  <c r="G28" i="9" s="1"/>
  <c r="I28" i="9" s="1"/>
  <c r="C27" i="2" l="1"/>
  <c r="J27" i="2"/>
  <c r="B28" i="2" s="1"/>
  <c r="E28" i="2" s="1"/>
  <c r="I28" i="2" s="1"/>
  <c r="G28" i="2" s="1"/>
  <c r="J33" i="1"/>
  <c r="L32" i="1" l="1"/>
  <c r="L31" i="1"/>
  <c r="L34" i="1" s="1"/>
  <c r="L40" i="1" s="1"/>
  <c r="L26" i="1"/>
  <c r="J11" i="9" l="1"/>
  <c r="J13" i="9"/>
  <c r="J12" i="9"/>
  <c r="J26" i="9" l="1"/>
  <c r="D26" i="9"/>
  <c r="H26" i="2"/>
  <c r="D26" i="2"/>
  <c r="G32" i="1" l="1"/>
  <c r="L26" i="9" l="1"/>
  <c r="B27" i="9" s="1"/>
  <c r="E27" i="9" s="1"/>
  <c r="K27" i="9" s="1"/>
  <c r="G27" i="9" s="1"/>
  <c r="I27" i="9" s="1"/>
  <c r="J26" i="2"/>
  <c r="B27" i="2" s="1"/>
  <c r="E27" i="2" s="1"/>
  <c r="I27" i="2" s="1"/>
  <c r="G27" i="2" s="1"/>
  <c r="C26" i="2"/>
  <c r="J31" i="1"/>
  <c r="J32" i="1"/>
  <c r="J34" i="1" l="1"/>
  <c r="J40" i="1" s="1"/>
  <c r="E34" i="1"/>
  <c r="J22" i="2"/>
  <c r="B26" i="2" s="1"/>
  <c r="E32" i="2" s="1"/>
  <c r="H22" i="2"/>
  <c r="D22" i="2"/>
  <c r="C22" i="2"/>
  <c r="J21" i="2"/>
  <c r="B22" i="2" s="1"/>
  <c r="E22" i="2" s="1"/>
  <c r="H21" i="2"/>
  <c r="D21" i="2"/>
  <c r="C21" i="2"/>
  <c r="J20" i="2"/>
  <c r="B21" i="2" s="1"/>
  <c r="H20" i="2"/>
  <c r="D20" i="2"/>
  <c r="C20" i="2"/>
  <c r="J19" i="2"/>
  <c r="B20" i="2" s="1"/>
  <c r="E20" i="2" s="1"/>
  <c r="H19" i="2"/>
  <c r="D19" i="2"/>
  <c r="C19" i="2"/>
  <c r="J18" i="2"/>
  <c r="B19" i="2" s="1"/>
  <c r="H18" i="2"/>
  <c r="D18" i="2"/>
  <c r="C18" i="2"/>
  <c r="J17" i="2"/>
  <c r="B18" i="2" s="1"/>
  <c r="E18" i="2" s="1"/>
  <c r="H17" i="2"/>
  <c r="D17" i="2"/>
  <c r="C17" i="2"/>
  <c r="J16" i="2"/>
  <c r="B17" i="2" s="1"/>
  <c r="H16" i="2"/>
  <c r="D16" i="2"/>
  <c r="C16" i="2"/>
  <c r="J15" i="2"/>
  <c r="B16" i="2" s="1"/>
  <c r="E16" i="2" s="1"/>
  <c r="H15" i="2"/>
  <c r="D15" i="2"/>
  <c r="C15" i="2"/>
  <c r="J14" i="2"/>
  <c r="B15" i="2" s="1"/>
  <c r="H14" i="2"/>
  <c r="D14" i="2"/>
  <c r="C14" i="2"/>
  <c r="J13" i="2"/>
  <c r="B14" i="2" s="1"/>
  <c r="E14" i="2" s="1"/>
  <c r="H13" i="2"/>
  <c r="D13" i="2"/>
  <c r="C13" i="2"/>
  <c r="J12" i="2"/>
  <c r="B13" i="2" s="1"/>
  <c r="H12" i="2"/>
  <c r="D12" i="2"/>
  <c r="C12" i="2"/>
  <c r="J11" i="2"/>
  <c r="B12" i="2" s="1"/>
  <c r="E12" i="2" s="1"/>
  <c r="H11" i="2"/>
  <c r="B11" i="2"/>
  <c r="C23" i="9"/>
  <c r="D22" i="9"/>
  <c r="L21" i="9"/>
  <c r="B22" i="9" s="1"/>
  <c r="E22" i="9" s="1"/>
  <c r="J21" i="9"/>
  <c r="D21" i="9"/>
  <c r="L20" i="9"/>
  <c r="B21" i="9" s="1"/>
  <c r="J20" i="9"/>
  <c r="D20" i="9"/>
  <c r="L19" i="9"/>
  <c r="B20" i="9" s="1"/>
  <c r="J19" i="9"/>
  <c r="D19" i="9"/>
  <c r="L18" i="9"/>
  <c r="B19" i="9" s="1"/>
  <c r="E19" i="9" s="1"/>
  <c r="J18" i="9"/>
  <c r="D18" i="9"/>
  <c r="L17" i="9"/>
  <c r="B18" i="9" s="1"/>
  <c r="J17" i="9"/>
  <c r="D17" i="9"/>
  <c r="L16" i="9"/>
  <c r="B17" i="9" s="1"/>
  <c r="E17" i="9" s="1"/>
  <c r="K17" i="9" s="1"/>
  <c r="G17" i="9" s="1"/>
  <c r="I17" i="9" s="1"/>
  <c r="J16" i="9"/>
  <c r="D16" i="9"/>
  <c r="L15" i="9"/>
  <c r="B16" i="9" s="1"/>
  <c r="E16" i="9" s="1"/>
  <c r="K16" i="9" s="1"/>
  <c r="G16" i="9" s="1"/>
  <c r="I16" i="9" s="1"/>
  <c r="J15" i="9"/>
  <c r="D15" i="9"/>
  <c r="L14" i="9"/>
  <c r="B15" i="9" s="1"/>
  <c r="E15" i="9" s="1"/>
  <c r="J14" i="9"/>
  <c r="D14" i="9"/>
  <c r="L13" i="9"/>
  <c r="B14" i="9" s="1"/>
  <c r="E14" i="9" s="1"/>
  <c r="K14" i="9" s="1"/>
  <c r="G14" i="9" s="1"/>
  <c r="I14" i="9" s="1"/>
  <c r="D13" i="9"/>
  <c r="L12" i="9"/>
  <c r="B13" i="9" s="1"/>
  <c r="D12" i="9"/>
  <c r="L11" i="9"/>
  <c r="B12" i="9" s="1"/>
  <c r="D11" i="9"/>
  <c r="D23" i="9" s="1"/>
  <c r="B11" i="9"/>
  <c r="K19" i="9" l="1"/>
  <c r="G19" i="9" s="1"/>
  <c r="I19" i="9" s="1"/>
  <c r="D23" i="2"/>
  <c r="E13" i="2"/>
  <c r="I13" i="2" s="1"/>
  <c r="G13" i="2" s="1"/>
  <c r="E15" i="2"/>
  <c r="I15" i="2" s="1"/>
  <c r="G15" i="2" s="1"/>
  <c r="E17" i="2"/>
  <c r="I17" i="2" s="1"/>
  <c r="G17" i="2" s="1"/>
  <c r="E19" i="2"/>
  <c r="I19" i="2" s="1"/>
  <c r="G19" i="2" s="1"/>
  <c r="E21" i="2"/>
  <c r="I21" i="2" s="1"/>
  <c r="G21" i="2" s="1"/>
  <c r="H23" i="2"/>
  <c r="I12" i="2"/>
  <c r="G12" i="2" s="1"/>
  <c r="I18" i="2"/>
  <c r="G18" i="2" s="1"/>
  <c r="I22" i="2"/>
  <c r="G22" i="2" s="1"/>
  <c r="I14" i="2"/>
  <c r="G14" i="2" s="1"/>
  <c r="I16" i="2"/>
  <c r="G16" i="2" s="1"/>
  <c r="I20" i="2"/>
  <c r="G20" i="2" s="1"/>
  <c r="E23" i="9"/>
  <c r="J23" i="9"/>
  <c r="K23" i="9" s="1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1" i="1"/>
  <c r="G34" i="1" s="1"/>
  <c r="G40" i="1" s="1"/>
  <c r="H40" i="1" s="1"/>
  <c r="H34" i="1" l="1"/>
  <c r="M34" i="1" s="1"/>
  <c r="L22" i="9"/>
  <c r="G11" i="9"/>
  <c r="K34" i="1" l="1"/>
  <c r="K40" i="1" s="1"/>
  <c r="M40" i="1"/>
  <c r="B26" i="9"/>
  <c r="E32" i="9" s="1"/>
  <c r="K22" i="9"/>
  <c r="G22" i="9" s="1"/>
  <c r="I22" i="9" s="1"/>
  <c r="I11" i="9"/>
  <c r="J26" i="1"/>
  <c r="G26" i="1" l="1"/>
  <c r="F15" i="1" l="1"/>
  <c r="E27" i="1" l="1"/>
  <c r="G25" i="1" l="1"/>
  <c r="L25" i="1"/>
  <c r="J25" i="1" l="1"/>
  <c r="F28" i="1" l="1"/>
  <c r="L24" i="1" l="1"/>
  <c r="L27" i="1" s="1"/>
  <c r="G24" i="1"/>
  <c r="G27" i="1" s="1"/>
  <c r="H27" i="1" s="1"/>
  <c r="M27" i="1" s="1"/>
  <c r="J24" i="1" l="1"/>
  <c r="J27" i="1" s="1"/>
  <c r="K27" i="1" s="1"/>
  <c r="L22" i="1" l="1"/>
  <c r="G22" i="1"/>
  <c r="J22" i="1" l="1"/>
  <c r="G21" i="1" l="1"/>
  <c r="E23" i="1"/>
  <c r="L16" i="1"/>
  <c r="L14" i="1"/>
  <c r="L13" i="1"/>
  <c r="L12" i="1"/>
  <c r="G16" i="1"/>
  <c r="G14" i="1"/>
  <c r="G13" i="1"/>
  <c r="G12" i="1"/>
  <c r="L21" i="1" l="1"/>
  <c r="J21" i="1" l="1"/>
  <c r="E45" i="3" l="1"/>
  <c r="H45" i="3" s="1"/>
  <c r="N45" i="3" s="1"/>
  <c r="L45" i="3" s="1"/>
  <c r="B32" i="3"/>
  <c r="E32" i="3" s="1"/>
  <c r="B7" i="3"/>
  <c r="E7" i="3" s="1"/>
  <c r="J7" i="3" s="1"/>
  <c r="I7" i="3" s="1"/>
  <c r="I32" i="3" l="1"/>
  <c r="G32" i="3" s="1"/>
  <c r="L20" i="1"/>
  <c r="L23" i="1" s="1"/>
  <c r="G20" i="1" l="1"/>
  <c r="G23" i="1" s="1"/>
  <c r="H23" i="1" l="1"/>
  <c r="M23" i="1" s="1"/>
  <c r="J20" i="1"/>
  <c r="J23" i="1" s="1"/>
  <c r="K23" i="1" l="1"/>
  <c r="B7" i="2" l="1"/>
  <c r="I7" i="2" s="1"/>
  <c r="G7" i="2" s="1"/>
  <c r="D7" i="1"/>
  <c r="E7" i="1"/>
  <c r="H7" i="1" l="1"/>
  <c r="M7" i="1" s="1"/>
  <c r="K7" i="1" s="1"/>
  <c r="J18" i="1" l="1"/>
  <c r="L18" i="1" l="1"/>
  <c r="G18" i="1"/>
  <c r="E19" i="1" l="1"/>
  <c r="L17" i="1" l="1"/>
  <c r="G17" i="1"/>
  <c r="J13" i="1" l="1"/>
  <c r="J17" i="1" l="1"/>
  <c r="B50" i="3" l="1"/>
  <c r="L19" i="1" l="1"/>
  <c r="G19" i="1"/>
  <c r="H19" i="1" l="1"/>
  <c r="M19" i="1" s="1"/>
  <c r="J16" i="1"/>
  <c r="J19" i="1" s="1"/>
  <c r="K19" i="1" l="1"/>
  <c r="G22" i="6" l="1"/>
  <c r="J14" i="1" l="1"/>
  <c r="L15" i="1" l="1"/>
  <c r="L28" i="1" s="1"/>
  <c r="G15" i="1"/>
  <c r="G28" i="1" s="1"/>
  <c r="H28" i="1" l="1"/>
  <c r="J12" i="1"/>
  <c r="J15" i="1" s="1"/>
  <c r="J28" i="1" s="1"/>
  <c r="H15" i="1"/>
  <c r="E26" i="9" l="1"/>
  <c r="K26" i="9" s="1"/>
  <c r="M15" i="1"/>
  <c r="M28" i="1" s="1"/>
  <c r="E26" i="2"/>
  <c r="I26" i="2" s="1"/>
  <c r="B44" i="1"/>
  <c r="G26" i="2" l="1"/>
  <c r="K15" i="1"/>
  <c r="K28" i="1" s="1"/>
  <c r="G26" i="9"/>
  <c r="I26" i="9" l="1"/>
  <c r="I32" i="9" s="1"/>
  <c r="B45" i="6" l="1"/>
  <c r="B44" i="4"/>
  <c r="B35" i="9"/>
  <c r="B35" i="2"/>
  <c r="E11" i="2" l="1"/>
  <c r="I11" i="2" s="1"/>
  <c r="C23" i="2"/>
  <c r="E23" i="2" s="1"/>
  <c r="I23" i="2" l="1"/>
  <c r="G11" i="2"/>
  <c r="G23" i="2" s="1"/>
</calcChain>
</file>

<file path=xl/sharedStrings.xml><?xml version="1.0" encoding="utf-8"?>
<sst xmlns="http://schemas.openxmlformats.org/spreadsheetml/2006/main" count="588" uniqueCount="184">
  <si>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</si>
  <si>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</si>
  <si>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</si>
  <si>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</si>
  <si>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</si>
  <si>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</si>
  <si>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</si>
  <si>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</si>
  <si>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</si>
  <si>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</si>
  <si>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</si>
  <si>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</si>
  <si>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</si>
  <si>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</si>
  <si>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</si>
  <si>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</si>
  <si>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</si>
  <si>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</si>
  <si>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</si>
  <si>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</si>
  <si>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</si>
  <si>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</si>
  <si>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</si>
  <si>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</si>
  <si>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</si>
  <si>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</si>
  <si>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</si>
  <si>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</si>
  <si>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</si>
  <si>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</si>
  <si>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</si>
  <si>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</si>
  <si>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</si>
  <si>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</si>
  <si>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</si>
  <si>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</si>
  <si>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</si>
  <si>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</si>
  <si>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</si>
  <si>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</si>
  <si>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</si>
  <si>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</si>
  <si>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</si>
  <si>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</si>
  <si>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</si>
  <si>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</si>
  <si>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</si>
  <si>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</si>
  <si>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</si>
  <si>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</si>
  <si>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</si>
  <si>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</si>
  <si>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</si>
  <si>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</si>
  <si>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</si>
  <si>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</si>
  <si>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</si>
  <si>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</si>
  <si>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</si>
  <si>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</si>
  <si>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</si>
  <si>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</si>
  <si>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</si>
  <si>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</si>
  <si>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</si>
  <si>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</si>
  <si>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</si>
  <si>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</si>
  <si>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</si>
  <si>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</si>
  <si>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</si>
  <si>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</si>
  <si>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</si>
  <si>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</si>
  <si>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</si>
  <si>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</si>
  <si>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</si>
  <si>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</si>
  <si>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</si>
  <si>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</si>
  <si>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</si>
  <si>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</si>
  <si>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</si>
  <si>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</si>
  <si>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</si>
  <si>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</si>
  <si>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</si>
  <si>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</si>
  <si>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</si>
  <si>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</si>
  <si>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</si>
  <si>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</si>
  <si>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</si>
  <si>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</si>
  <si>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</si>
  <si>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</si>
  <si>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</si>
  <si>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</si>
  <si>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</si>
  <si>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</si>
  <si>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</si>
  <si>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</si>
  <si>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</si>
  <si>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</si>
  <si>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</si>
  <si>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</si>
  <si>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</si>
  <si>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</si>
  <si>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</si>
  <si>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</si>
  <si>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</si>
  <si>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</si>
  <si>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</si>
  <si>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</si>
  <si>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</si>
  <si>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</si>
  <si>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</si>
  <si>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</si>
  <si>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</si>
  <si>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</si>
  <si>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</si>
  <si>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</si>
  <si>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</si>
  <si>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</si>
  <si>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</si>
  <si>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</si>
  <si>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</si>
  <si>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</si>
  <si>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</si>
  <si>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</si>
  <si>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</si>
  <si>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</si>
  <si>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 xml:space="preserve"> June-August</t>
  </si>
  <si>
    <t>Contact: Candice Wilson, Dana Golden, and Todd Hubbs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</si>
  <si>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</si>
  <si>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</si>
  <si>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</si>
  <si>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</si>
  <si>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</si>
  <si>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</si>
  <si>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</si>
  <si>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</si>
  <si>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</si>
  <si>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</si>
  <si>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</si>
  <si>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</si>
  <si>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</si>
  <si>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</si>
  <si>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</si>
  <si>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</si>
  <si>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</si>
  <si>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</si>
  <si>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</si>
  <si>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</si>
  <si>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</si>
  <si>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</si>
  <si>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</si>
  <si>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</si>
  <si>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</si>
  <si>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Prices;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</si>
  <si>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Week Ending Date</t>
  </si>
  <si>
    <t>Location</t>
  </si>
  <si>
    <t>Bid Average ($ per hundredweight)</t>
  </si>
  <si>
    <t>Decatur-Central Illinois, IL</t>
  </si>
  <si>
    <r>
      <t>2020/22</t>
    </r>
    <r>
      <rPr>
        <vertAlign val="superscript"/>
        <sz val="11"/>
        <rFont val="Arial"/>
        <family val="2"/>
      </rPr>
      <t>1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</si>
  <si>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</si>
  <si>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</si>
  <si>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Marketing Year</t>
  </si>
  <si>
    <t xml:space="preserve">  Crush</t>
  </si>
  <si>
    <t xml:space="preserve">  Exports</t>
  </si>
  <si>
    <t>Ending Stocks</t>
  </si>
  <si>
    <t>Million Pounds</t>
  </si>
  <si>
    <t>Worldwide soybean production</t>
  </si>
  <si>
    <t>Worldwide soybean crush</t>
  </si>
  <si>
    <t>Argentina soybean production</t>
  </si>
  <si>
    <t>Brazil soybean production</t>
  </si>
  <si>
    <t>US soybean production</t>
  </si>
  <si>
    <t>Rest of world soybean production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</si>
  <si>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</si>
  <si>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</si>
  <si>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</si>
  <si>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r>
      <t>Biofuel</t>
    </r>
    <r>
      <rPr>
        <vertAlign val="superscript"/>
        <sz val="11"/>
        <rFont val="Arial"/>
        <family val="2"/>
      </rPr>
      <t>3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</si>
  <si>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 monthly biofuel data are estimated based on yearly. Note: 1 metric ton equals 2,204.622 pounds. NA: Not available.</t>
    </r>
  </si>
  <si>
    <t>Errata: On May 25, 2021, the Oil Crops Outlook Tables were reposted to fix a data transfer error. The peanut domestic food disappearance forecast for 2021/22, Table 7, Peanuts: U.S. supply and disappearance was updated. No other numbers or tables were affected by this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</si>
</sst>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HelveticaNeueforSAS"/>
      <family val="2"/>
    </font>
    <font>
      <sz val="12"/>
      <name val="HelveticaNeueforSAS"/>
      <family val="2"/>
    </font>
    <font>
      <b/>
      <sz val="12"/>
      <color indexed="8"/>
      <name val="HelveticaNeueforSAS"/>
      <family val="2"/>
    </font>
    <font>
      <b/>
      <sz val="12"/>
      <name val="HelveticaNeueforSAS"/>
      <family val="2"/>
    </font>
    <font>
      <sz val="12"/>
      <color theme="1"/>
      <name val="HelveticaNeueforSAS"/>
      <family val="2"/>
    </font>
    <font>
      <b/>
      <sz val="1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" fillId="0" borderId="0"/>
  </cellStyleXfs>
  <cellXfs count="18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4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7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9" fontId="7" fillId="0" borderId="0" xfId="1" applyNumberFormat="1" applyFont="1" applyBorder="1" applyAlignment="1">
      <alignment horizontal="center"/>
    </xf>
    <xf numFmtId="0" fontId="4" fillId="0" borderId="0" xfId="8" applyFont="1" applyBorder="1" applyAlignment="1">
      <alignment vertical="top" wrapText="1"/>
    </xf>
    <xf numFmtId="0" fontId="4" fillId="0" borderId="0" xfId="8" applyFont="1"/>
    <xf numFmtId="0" fontId="9" fillId="0" borderId="0" xfId="7" applyFont="1" applyAlignment="1">
      <alignment horizontal="left"/>
    </xf>
    <xf numFmtId="0" fontId="10" fillId="0" borderId="0" xfId="5" applyFont="1" applyAlignment="1" applyProtection="1"/>
    <xf numFmtId="0" fontId="5" fillId="0" borderId="0" xfId="8" applyFont="1"/>
    <xf numFmtId="0" fontId="11" fillId="0" borderId="0" xfId="7" applyFont="1" applyAlignment="1">
      <alignment horizontal="left"/>
    </xf>
    <xf numFmtId="0" fontId="4" fillId="0" borderId="0" xfId="8" applyFont="1" applyFill="1"/>
    <xf numFmtId="0" fontId="4" fillId="0" borderId="0" xfId="8" quotePrefix="1" applyFont="1"/>
    <xf numFmtId="0" fontId="13" fillId="0" borderId="0" xfId="8" applyFont="1" applyFill="1"/>
    <xf numFmtId="0" fontId="4" fillId="0" borderId="0" xfId="8" applyFont="1" applyBorder="1" applyAlignment="1">
      <alignment wrapText="1"/>
    </xf>
    <xf numFmtId="0" fontId="14" fillId="0" borderId="0" xfId="8" applyFont="1"/>
    <xf numFmtId="0" fontId="8" fillId="0" borderId="0" xfId="7" quotePrefix="1" applyAlignment="1">
      <alignment horizontal="left"/>
    </xf>
    <xf numFmtId="0" fontId="6" fillId="0" borderId="0" xfId="4" applyAlignment="1" applyProtection="1"/>
    <xf numFmtId="14" fontId="11" fillId="0" borderId="0" xfId="7" applyNumberFormat="1" applyFont="1" applyAlignment="1">
      <alignment horizontal="left"/>
    </xf>
    <xf numFmtId="0" fontId="15" fillId="0" borderId="1" xfId="0" applyFont="1" applyBorder="1"/>
    <xf numFmtId="0" fontId="15" fillId="0" borderId="0" xfId="0" applyFont="1"/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Alignment="1">
      <alignment horizontal="right"/>
    </xf>
    <xf numFmtId="16" fontId="15" fillId="0" borderId="1" xfId="0" quotePrefix="1" applyNumberFormat="1" applyFont="1" applyBorder="1"/>
    <xf numFmtId="16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 indent="1"/>
    </xf>
    <xf numFmtId="0" fontId="16" fillId="0" borderId="0" xfId="0" quotePrefix="1" applyFont="1" applyAlignment="1">
      <alignment horizontal="right"/>
    </xf>
    <xf numFmtId="167" fontId="15" fillId="0" borderId="0" xfId="0" applyNumberFormat="1" applyFont="1" applyAlignment="1">
      <alignment horizontal="center"/>
    </xf>
    <xf numFmtId="165" fontId="15" fillId="0" borderId="0" xfId="1" applyNumberFormat="1" applyFont="1" applyAlignment="1">
      <alignment horizontal="left"/>
    </xf>
    <xf numFmtId="165" fontId="15" fillId="0" borderId="0" xfId="1" applyNumberFormat="1" applyFont="1" applyAlignment="1">
      <alignment horizontal="center"/>
    </xf>
    <xf numFmtId="3" fontId="15" fillId="0" borderId="0" xfId="1" applyNumberFormat="1" applyFont="1" applyBorder="1" applyAlignment="1">
      <alignment horizontal="right" indent="1"/>
    </xf>
    <xf numFmtId="165" fontId="15" fillId="0" borderId="0" xfId="1" applyNumberFormat="1" applyFont="1"/>
    <xf numFmtId="164" fontId="15" fillId="0" borderId="0" xfId="1" applyNumberFormat="1" applyFont="1" applyBorder="1"/>
    <xf numFmtId="164" fontId="15" fillId="0" borderId="0" xfId="1" applyNumberFormat="1" applyFont="1" applyBorder="1" applyAlignment="1">
      <alignment horizontal="right"/>
    </xf>
    <xf numFmtId="164" fontId="15" fillId="0" borderId="0" xfId="1" applyNumberFormat="1" applyFont="1" applyBorder="1" applyAlignment="1">
      <alignment horizontal="center"/>
    </xf>
    <xf numFmtId="0" fontId="16" fillId="0" borderId="3" xfId="0" quotePrefix="1" applyFont="1" applyBorder="1" applyAlignment="1"/>
    <xf numFmtId="164" fontId="15" fillId="0" borderId="0" xfId="1" quotePrefix="1" applyNumberFormat="1" applyFont="1" applyBorder="1" applyAlignment="1">
      <alignment horizontal="center"/>
    </xf>
    <xf numFmtId="169" fontId="15" fillId="0" borderId="0" xfId="1" applyNumberFormat="1" applyFont="1" applyBorder="1" applyAlignment="1">
      <alignment horizontal="right" indent="1"/>
    </xf>
    <xf numFmtId="169" fontId="15" fillId="0" borderId="0" xfId="1" applyNumberFormat="1" applyFont="1" applyBorder="1" applyAlignment="1">
      <alignment horizontal="right"/>
    </xf>
    <xf numFmtId="169" fontId="15" fillId="0" borderId="0" xfId="1" quotePrefix="1" applyNumberFormat="1" applyFont="1" applyBorder="1" applyAlignment="1">
      <alignment horizontal="right"/>
    </xf>
    <xf numFmtId="164" fontId="15" fillId="0" borderId="0" xfId="1" quotePrefix="1" applyNumberFormat="1" applyFont="1" applyAlignment="1">
      <alignment horizontal="center"/>
    </xf>
    <xf numFmtId="169" fontId="15" fillId="0" borderId="0" xfId="1" quotePrefix="1" applyNumberFormat="1" applyFont="1" applyAlignment="1">
      <alignment horizontal="right"/>
    </xf>
    <xf numFmtId="169" fontId="15" fillId="0" borderId="1" xfId="1" applyNumberFormat="1" applyFont="1" applyBorder="1" applyAlignment="1">
      <alignment horizontal="right" indent="1"/>
    </xf>
    <xf numFmtId="0" fontId="17" fillId="0" borderId="0" xfId="0" applyFont="1" applyBorder="1"/>
    <xf numFmtId="164" fontId="15" fillId="0" borderId="0" xfId="0" applyNumberFormat="1" applyFont="1" applyBorder="1"/>
    <xf numFmtId="164" fontId="15" fillId="0" borderId="0" xfId="1" applyNumberFormat="1" applyFont="1"/>
    <xf numFmtId="0" fontId="16" fillId="0" borderId="0" xfId="0" applyFont="1"/>
    <xf numFmtId="14" fontId="15" fillId="0" borderId="0" xfId="0" applyNumberFormat="1" applyFont="1" applyAlignment="1">
      <alignment horizontal="left"/>
    </xf>
    <xf numFmtId="3" fontId="15" fillId="0" borderId="0" xfId="1" applyNumberFormat="1" applyFont="1" applyAlignment="1">
      <alignment horizontal="right" indent="2"/>
    </xf>
    <xf numFmtId="3" fontId="15" fillId="0" borderId="0" xfId="1" applyNumberFormat="1" applyFont="1" applyAlignment="1">
      <alignment horizontal="right" indent="1"/>
    </xf>
    <xf numFmtId="3" fontId="15" fillId="0" borderId="0" xfId="1" applyNumberFormat="1" applyFont="1" applyAlignment="1">
      <alignment horizontal="center"/>
    </xf>
    <xf numFmtId="169" fontId="15" fillId="0" borderId="0" xfId="1" applyNumberFormat="1" applyFont="1" applyBorder="1" applyAlignment="1">
      <alignment horizontal="center"/>
    </xf>
    <xf numFmtId="169" fontId="15" fillId="0" borderId="0" xfId="1" applyNumberFormat="1" applyFont="1" applyBorder="1" applyAlignment="1">
      <alignment horizontal="right" indent="2"/>
    </xf>
    <xf numFmtId="169" fontId="15" fillId="0" borderId="0" xfId="1" applyNumberFormat="1" applyFont="1" applyAlignment="1">
      <alignment horizontal="right" indent="1"/>
    </xf>
    <xf numFmtId="169" fontId="15" fillId="0" borderId="1" xfId="1" applyNumberFormat="1" applyFont="1" applyBorder="1" applyAlignment="1">
      <alignment horizontal="right" indent="2"/>
    </xf>
    <xf numFmtId="0" fontId="17" fillId="0" borderId="0" xfId="0" applyFont="1"/>
    <xf numFmtId="0" fontId="15" fillId="0" borderId="0" xfId="0" applyFont="1" applyBorder="1" applyAlignment="1">
      <alignment horizontal="center"/>
    </xf>
    <xf numFmtId="169" fontId="15" fillId="0" borderId="1" xfId="1" applyNumberFormat="1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37" fontId="15" fillId="0" borderId="0" xfId="1" applyNumberFormat="1" applyFont="1" applyAlignment="1">
      <alignment horizontal="center"/>
    </xf>
    <xf numFmtId="37" fontId="15" fillId="0" borderId="0" xfId="1" applyNumberFormat="1" applyFont="1" applyAlignment="1">
      <alignment horizontal="right" indent="2"/>
    </xf>
    <xf numFmtId="37" fontId="15" fillId="0" borderId="0" xfId="1" applyNumberFormat="1" applyFont="1" applyAlignment="1">
      <alignment horizontal="right" indent="1"/>
    </xf>
    <xf numFmtId="37" fontId="15" fillId="0" borderId="1" xfId="1" applyNumberFormat="1" applyFont="1" applyBorder="1" applyAlignment="1">
      <alignment horizontal="center"/>
    </xf>
    <xf numFmtId="37" fontId="15" fillId="0" borderId="1" xfId="1" applyNumberFormat="1" applyFont="1" applyBorder="1" applyAlignment="1">
      <alignment horizontal="right" indent="2"/>
    </xf>
    <xf numFmtId="165" fontId="15" fillId="0" borderId="1" xfId="1" applyNumberFormat="1" applyFont="1" applyBorder="1"/>
    <xf numFmtId="37" fontId="15" fillId="0" borderId="1" xfId="1" applyNumberFormat="1" applyFont="1" applyBorder="1" applyAlignment="1">
      <alignment horizontal="right" indent="1"/>
    </xf>
    <xf numFmtId="37" fontId="15" fillId="0" borderId="0" xfId="1" applyNumberFormat="1" applyFont="1" applyBorder="1" applyAlignment="1">
      <alignment horizontal="center"/>
    </xf>
    <xf numFmtId="165" fontId="15" fillId="0" borderId="0" xfId="1" applyNumberFormat="1" applyFont="1" applyBorder="1"/>
    <xf numFmtId="1" fontId="15" fillId="0" borderId="0" xfId="0" applyNumberFormat="1" applyFont="1" applyAlignment="1">
      <alignment horizontal="center"/>
    </xf>
    <xf numFmtId="37" fontId="15" fillId="0" borderId="0" xfId="1" applyNumberFormat="1" applyFont="1" applyBorder="1" applyAlignment="1">
      <alignment horizontal="right" indent="1"/>
    </xf>
    <xf numFmtId="1" fontId="15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5" fillId="0" borderId="1" xfId="1" applyNumberFormat="1" applyFont="1" applyBorder="1" applyAlignment="1">
      <alignment horizontal="right"/>
    </xf>
    <xf numFmtId="16" fontId="15" fillId="0" borderId="0" xfId="0" applyNumberFormat="1" applyFont="1" applyBorder="1"/>
    <xf numFmtId="0" fontId="16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right" indent="2"/>
    </xf>
    <xf numFmtId="43" fontId="15" fillId="0" borderId="0" xfId="1" quotePrefix="1" applyFont="1" applyBorder="1" applyAlignment="1">
      <alignment horizontal="center"/>
    </xf>
    <xf numFmtId="170" fontId="15" fillId="0" borderId="0" xfId="0" applyNumberFormat="1" applyFont="1" applyBorder="1"/>
    <xf numFmtId="43" fontId="15" fillId="0" borderId="0" xfId="1" quotePrefix="1" applyNumberFormat="1" applyFont="1" applyBorder="1" applyAlignment="1">
      <alignment horizontal="center"/>
    </xf>
    <xf numFmtId="166" fontId="15" fillId="0" borderId="0" xfId="1" quotePrefix="1" applyNumberFormat="1" applyFont="1" applyBorder="1" applyAlignment="1">
      <alignment horizontal="center"/>
    </xf>
    <xf numFmtId="43" fontId="15" fillId="0" borderId="0" xfId="1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right" indent="2"/>
    </xf>
    <xf numFmtId="43" fontId="15" fillId="0" borderId="0" xfId="1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indent="1"/>
    </xf>
    <xf numFmtId="0" fontId="15" fillId="0" borderId="3" xfId="0" applyFont="1" applyBorder="1" applyAlignment="1">
      <alignment horizontal="center"/>
    </xf>
    <xf numFmtId="0" fontId="16" fillId="0" borderId="3" xfId="0" applyFont="1" applyBorder="1" applyAlignment="1"/>
    <xf numFmtId="43" fontId="15" fillId="0" borderId="0" xfId="1" applyNumberFormat="1" applyFont="1" applyBorder="1"/>
    <xf numFmtId="43" fontId="15" fillId="0" borderId="0" xfId="0" applyNumberFormat="1" applyFont="1"/>
    <xf numFmtId="165" fontId="15" fillId="0" borderId="0" xfId="1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0" fontId="15" fillId="0" borderId="0" xfId="0" quotePrefix="1" applyFont="1" applyBorder="1"/>
    <xf numFmtId="43" fontId="15" fillId="0" borderId="1" xfId="1" applyFont="1" applyBorder="1" applyAlignment="1">
      <alignment horizontal="center"/>
    </xf>
    <xf numFmtId="168" fontId="15" fillId="0" borderId="0" xfId="0" applyNumberFormat="1" applyFont="1"/>
    <xf numFmtId="2" fontId="15" fillId="0" borderId="0" xfId="0" applyNumberFormat="1" applyFont="1"/>
    <xf numFmtId="2" fontId="15" fillId="0" borderId="0" xfId="0" applyNumberFormat="1" applyFont="1" applyBorder="1" applyAlignment="1">
      <alignment horizontal="center"/>
    </xf>
    <xf numFmtId="0" fontId="4" fillId="0" borderId="1" xfId="0" applyFont="1" applyBorder="1"/>
    <xf numFmtId="169" fontId="15" fillId="0" borderId="1" xfId="1" applyNumberFormat="1" applyFont="1" applyBorder="1" applyAlignment="1">
      <alignment horizontal="right"/>
    </xf>
    <xf numFmtId="0" fontId="4" fillId="0" borderId="0" xfId="0" applyFont="1" applyBorder="1"/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0" fontId="0" fillId="0" borderId="2" xfId="0" applyBorder="1"/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left"/>
    </xf>
    <xf numFmtId="0" fontId="3" fillId="0" borderId="0" xfId="0" applyFont="1" applyBorder="1"/>
    <xf numFmtId="169" fontId="15" fillId="0" borderId="0" xfId="0" applyNumberFormat="1" applyFont="1" applyBorder="1"/>
    <xf numFmtId="169" fontId="0" fillId="0" borderId="0" xfId="0" applyNumberFormat="1"/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right" indent="1"/>
    </xf>
    <xf numFmtId="9" fontId="15" fillId="0" borderId="0" xfId="12" applyFont="1"/>
    <xf numFmtId="164" fontId="15" fillId="0" borderId="1" xfId="1" applyNumberFormat="1" applyFont="1" applyBorder="1" applyAlignment="1">
      <alignment horizontal="center"/>
    </xf>
    <xf numFmtId="164" fontId="15" fillId="0" borderId="1" xfId="1" quotePrefix="1" applyNumberFormat="1" applyFont="1" applyBorder="1" applyAlignment="1">
      <alignment horizontal="center"/>
    </xf>
    <xf numFmtId="169" fontId="15" fillId="0" borderId="1" xfId="1" quotePrefix="1" applyNumberFormat="1" applyFont="1" applyBorder="1" applyAlignment="1">
      <alignment horizontal="right"/>
    </xf>
    <xf numFmtId="169" fontId="15" fillId="0" borderId="1" xfId="1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169" fontId="15" fillId="2" borderId="0" xfId="1" applyNumberFormat="1" applyFont="1" applyFill="1" applyBorder="1" applyAlignment="1">
      <alignment horizontal="center"/>
    </xf>
    <xf numFmtId="169" fontId="15" fillId="2" borderId="0" xfId="1" applyNumberFormat="1" applyFont="1" applyFill="1" applyBorder="1" applyAlignment="1">
      <alignment horizontal="right" indent="1"/>
    </xf>
    <xf numFmtId="169" fontId="15" fillId="2" borderId="0" xfId="1" applyNumberFormat="1" applyFont="1" applyFill="1" applyAlignment="1">
      <alignment horizontal="right" indent="1"/>
    </xf>
    <xf numFmtId="3" fontId="15" fillId="0" borderId="0" xfId="0" applyNumberFormat="1" applyFont="1"/>
    <xf numFmtId="169" fontId="15" fillId="0" borderId="0" xfId="1" applyNumberFormat="1" applyFont="1" applyFill="1" applyAlignment="1">
      <alignment horizontal="right" indent="1"/>
    </xf>
    <xf numFmtId="169" fontId="15" fillId="0" borderId="0" xfId="1" applyNumberFormat="1" applyFont="1" applyFill="1" applyBorder="1" applyAlignment="1">
      <alignment horizontal="right" indent="1"/>
    </xf>
    <xf numFmtId="0" fontId="15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37" fontId="15" fillId="0" borderId="0" xfId="1" applyNumberFormat="1" applyFont="1" applyBorder="1" applyAlignment="1">
      <alignment horizontal="right" indent="2"/>
    </xf>
    <xf numFmtId="1" fontId="15" fillId="0" borderId="0" xfId="0" applyNumberFormat="1" applyFont="1" applyBorder="1" applyAlignment="1">
      <alignment horizontal="center"/>
    </xf>
    <xf numFmtId="169" fontId="15" fillId="0" borderId="0" xfId="0" applyNumberFormat="1" applyFont="1"/>
    <xf numFmtId="169" fontId="15" fillId="0" borderId="0" xfId="1" applyNumberFormat="1" applyFont="1" applyFill="1" applyBorder="1" applyAlignment="1">
      <alignment horizontal="center"/>
    </xf>
    <xf numFmtId="0" fontId="21" fillId="0" borderId="1" xfId="16" applyFont="1" applyBorder="1" applyAlignment="1">
      <alignment horizontal="center" vertical="center" wrapText="1"/>
    </xf>
    <xf numFmtId="0" fontId="21" fillId="0" borderId="1" xfId="16" applyFont="1" applyBorder="1" applyAlignment="1">
      <alignment horizontal="center"/>
    </xf>
    <xf numFmtId="0" fontId="22" fillId="0" borderId="0" xfId="16" applyFont="1"/>
    <xf numFmtId="14" fontId="22" fillId="0" borderId="0" xfId="16" applyNumberFormat="1" applyFont="1" applyAlignment="1">
      <alignment horizontal="center" wrapText="1"/>
    </xf>
    <xf numFmtId="0" fontId="22" fillId="0" borderId="0" xfId="16" applyFont="1" applyAlignment="1">
      <alignment horizontal="center" wrapText="1"/>
    </xf>
    <xf numFmtId="2" fontId="22" fillId="0" borderId="0" xfId="16" applyNumberFormat="1" applyFont="1" applyAlignment="1">
      <alignment horizontal="center"/>
    </xf>
    <xf numFmtId="0" fontId="23" fillId="0" borderId="0" xfId="16" applyFont="1" applyAlignment="1">
      <alignment vertical="center"/>
    </xf>
    <xf numFmtId="14" fontId="22" fillId="0" borderId="0" xfId="16" applyNumberFormat="1" applyFont="1" applyAlignment="1">
      <alignment horizontal="center"/>
    </xf>
    <xf numFmtId="0" fontId="2" fillId="0" borderId="0" xfId="17"/>
    <xf numFmtId="3" fontId="2" fillId="0" borderId="0" xfId="17" applyNumberFormat="1"/>
    <xf numFmtId="3" fontId="24" fillId="0" borderId="0" xfId="17" applyNumberFormat="1" applyFont="1" applyAlignment="1">
      <alignment wrapText="1"/>
    </xf>
    <xf numFmtId="0" fontId="24" fillId="0" borderId="0" xfId="17" applyFont="1" applyAlignment="1">
      <alignment horizontal="center" vertical="center"/>
    </xf>
    <xf numFmtId="1" fontId="25" fillId="0" borderId="0" xfId="0" applyNumberFormat="1" applyFont="1" applyFill="1"/>
    <xf numFmtId="1" fontId="26" fillId="0" borderId="0" xfId="0" applyNumberFormat="1" applyFont="1" applyFill="1"/>
    <xf numFmtId="1" fontId="27" fillId="2" borderId="0" xfId="0" applyNumberFormat="1" applyFont="1" applyFill="1"/>
    <xf numFmtId="1" fontId="27" fillId="0" borderId="0" xfId="0" applyNumberFormat="1" applyFont="1"/>
    <xf numFmtId="1" fontId="28" fillId="0" borderId="0" xfId="0" applyNumberFormat="1" applyFont="1"/>
    <xf numFmtId="1" fontId="27" fillId="3" borderId="0" xfId="0" applyNumberFormat="1" applyFont="1" applyFill="1"/>
    <xf numFmtId="0" fontId="29" fillId="0" borderId="0" xfId="17" applyFont="1"/>
    <xf numFmtId="0" fontId="29" fillId="0" borderId="0" xfId="17" applyFont="1" applyAlignment="1">
      <alignment horizontal="center" vertical="center"/>
    </xf>
    <xf numFmtId="0" fontId="29" fillId="0" borderId="0" xfId="17" applyFont="1" applyFill="1"/>
    <xf numFmtId="0" fontId="30" fillId="0" borderId="0" xfId="0" applyFont="1"/>
    <xf numFmtId="0" fontId="30" fillId="0" borderId="0" xfId="0" applyFont="1" applyBorder="1"/>
    <xf numFmtId="0" fontId="30" fillId="0" borderId="0" xfId="0" quotePrefix="1" applyFont="1"/>
    <xf numFmtId="0" fontId="1" fillId="0" borderId="0" xfId="17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5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</cellXfs>
  <cellStyles count="18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HelveticaNeueforSAS" panose="020B0604020202020204" pitchFamily="34" charset="0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US soybean production and crush reach new heights while exports cool slightly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HelveticaNeueforSAS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61770697353429E-2"/>
          <c:y val="6.6646087380670335E-2"/>
          <c:w val="0.91222260100275232"/>
          <c:h val="0.77948393840150509"/>
        </c:manualLayout>
      </c:layout>
      <c:barChart>
        <c:barDir val="col"/>
        <c:grouping val="stacked"/>
        <c:varyColors val="0"/>
        <c:ser>
          <c:idx val="6"/>
          <c:order val="6"/>
          <c:tx>
            <c:strRef>
              <c:f>Cover!$B$1</c:f>
              <c:strCache>
                <c:ptCount val="1"/>
                <c:pt idx="0">
                  <c:v>  Crush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Cover!$A$2:$A$13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Cover!$B$2:$B$13</c:f>
              <c:numCache>
                <c:formatCode>General</c:formatCode>
                <c:ptCount val="12"/>
                <c:pt idx="0">
                  <c:v>1648</c:v>
                </c:pt>
                <c:pt idx="1">
                  <c:v>1703</c:v>
                </c:pt>
                <c:pt idx="2">
                  <c:v>1689</c:v>
                </c:pt>
                <c:pt idx="3">
                  <c:v>1734</c:v>
                </c:pt>
                <c:pt idx="4">
                  <c:v>1873</c:v>
                </c:pt>
                <c:pt idx="5">
                  <c:v>1886.2368000000001</c:v>
                </c:pt>
                <c:pt idx="6">
                  <c:v>1901.1981000000001</c:v>
                </c:pt>
                <c:pt idx="7">
                  <c:v>2054.9319999999998</c:v>
                </c:pt>
                <c:pt idx="8">
                  <c:v>2091.9902999999999</c:v>
                </c:pt>
                <c:pt idx="9">
                  <c:v>2164.5542</c:v>
                </c:pt>
                <c:pt idx="10">
                  <c:v>2190</c:v>
                </c:pt>
                <c:pt idx="11">
                  <c:v>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12-4D2C-B18F-4BABCE1AB31E}"/>
            </c:ext>
          </c:extLst>
        </c:ser>
        <c:ser>
          <c:idx val="9"/>
          <c:order val="7"/>
          <c:tx>
            <c:strRef>
              <c:f>Cover!$C$1</c:f>
              <c:strCache>
                <c:ptCount val="1"/>
                <c:pt idx="0">
                  <c:v>  Exports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Cover!$C$2:$C$13</c:f>
              <c:numCache>
                <c:formatCode>General</c:formatCode>
                <c:ptCount val="12"/>
                <c:pt idx="0">
                  <c:v>1504.978062338671</c:v>
                </c:pt>
                <c:pt idx="1">
                  <c:v>1366.3350851344253</c:v>
                </c:pt>
                <c:pt idx="2">
                  <c:v>1327.5264848371185</c:v>
                </c:pt>
                <c:pt idx="3">
                  <c:v>1638.5594023772064</c:v>
                </c:pt>
                <c:pt idx="4">
                  <c:v>1842.1752280193994</c:v>
                </c:pt>
                <c:pt idx="5">
                  <c:v>1942.6064183157985</c:v>
                </c:pt>
                <c:pt idx="6">
                  <c:v>2166.5510838344953</c:v>
                </c:pt>
                <c:pt idx="7">
                  <c:v>2133.7308779136683</c:v>
                </c:pt>
                <c:pt idx="8">
                  <c:v>1751.8097236372153</c:v>
                </c:pt>
                <c:pt idx="9">
                  <c:v>1682.023247055195</c:v>
                </c:pt>
                <c:pt idx="10">
                  <c:v>2280</c:v>
                </c:pt>
                <c:pt idx="1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F-4B33-AB9D-92E00A71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25424"/>
        <c:axId val="403830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Cover!#REF!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712-4D2C-B18F-4BABCE1AB31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712-4D2C-B18F-4BABCE1AB31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Argentina Soybean Production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712-4D2C-B18F-4BABCE1AB31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Brazil Soybean Production</c:v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12-4D2C-B18F-4BABCE1AB31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United States Soybean Production</c:v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712-4D2C-B18F-4BABCE1AB31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Rest of World Soybean Production</c:v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712-4D2C-B18F-4BABCE1AB31E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12-4D2C-B18F-4BABCE1AB31E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F2F-4B33-AB9D-92E00A71B39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0"/>
          <c:order val="10"/>
          <c:tx>
            <c:strRef>
              <c:f>Cover!$E$1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Cover!$E$2:$E$13</c:f>
              <c:numCache>
                <c:formatCode>0</c:formatCode>
                <c:ptCount val="12"/>
                <c:pt idx="0">
                  <c:v>3331.306</c:v>
                </c:pt>
                <c:pt idx="1">
                  <c:v>3097.1790000000001</c:v>
                </c:pt>
                <c:pt idx="2">
                  <c:v>3042.0439999999999</c:v>
                </c:pt>
                <c:pt idx="3">
                  <c:v>3357.0039999999999</c:v>
                </c:pt>
                <c:pt idx="4">
                  <c:v>3928.07</c:v>
                </c:pt>
                <c:pt idx="5">
                  <c:v>3926.779</c:v>
                </c:pt>
                <c:pt idx="6">
                  <c:v>4296.4960000000001</c:v>
                </c:pt>
                <c:pt idx="7">
                  <c:v>4411.6329999999998</c:v>
                </c:pt>
                <c:pt idx="8">
                  <c:v>4428.1499999999996</c:v>
                </c:pt>
                <c:pt idx="9" formatCode="General">
                  <c:v>3551.9079999999999</c:v>
                </c:pt>
                <c:pt idx="10" formatCode="General">
                  <c:v>4135.4769999999999</c:v>
                </c:pt>
                <c:pt idx="11" formatCode="General">
                  <c:v>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2F-4B33-AB9D-92E00A71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25424"/>
        <c:axId val="403830688"/>
      </c:lineChart>
      <c:catAx>
        <c:axId val="1212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NeueforSAS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03830688"/>
        <c:crosses val="autoZero"/>
        <c:auto val="1"/>
        <c:lblAlgn val="ctr"/>
        <c:lblOffset val="100"/>
        <c:noMultiLvlLbl val="0"/>
      </c:catAx>
      <c:valAx>
        <c:axId val="40383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2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96794389407218"/>
          <c:y val="0.87408620137468307"/>
          <c:w val="0.80237204163460762"/>
          <c:h val="4.424499235050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HelveticaNeueforSAS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NeueforSAS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Soybean oil rail price: Decatur, IL</a:t>
            </a:r>
            <a:endParaRPr lang="en-US" sz="1050" b="1"/>
          </a:p>
        </c:rich>
      </c:tx>
      <c:layout>
        <c:manualLayout>
          <c:xMode val="edge"/>
          <c:yMode val="edge"/>
          <c:x val="2.8269230769230769E-2"/>
          <c:y val="2.1235931195582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74527222558722E-2"/>
          <c:y val="0.20373333818261175"/>
          <c:w val="0.90002119927316782"/>
          <c:h val="0.533486994841580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1'!$A$3:$A$90</c:f>
              <c:numCache>
                <c:formatCode>m/d/yyyy</c:formatCode>
                <c:ptCount val="88"/>
                <c:pt idx="0">
                  <c:v>43722</c:v>
                </c:pt>
                <c:pt idx="1">
                  <c:v>43729</c:v>
                </c:pt>
                <c:pt idx="2">
                  <c:v>43736</c:v>
                </c:pt>
                <c:pt idx="3">
                  <c:v>43743</c:v>
                </c:pt>
                <c:pt idx="4">
                  <c:v>43750</c:v>
                </c:pt>
                <c:pt idx="5">
                  <c:v>43757</c:v>
                </c:pt>
                <c:pt idx="6">
                  <c:v>43764</c:v>
                </c:pt>
                <c:pt idx="7">
                  <c:v>43771</c:v>
                </c:pt>
                <c:pt idx="8">
                  <c:v>43778</c:v>
                </c:pt>
                <c:pt idx="9">
                  <c:v>43785</c:v>
                </c:pt>
                <c:pt idx="10">
                  <c:v>43792</c:v>
                </c:pt>
                <c:pt idx="11">
                  <c:v>43799</c:v>
                </c:pt>
                <c:pt idx="12">
                  <c:v>43806</c:v>
                </c:pt>
                <c:pt idx="13">
                  <c:v>43813</c:v>
                </c:pt>
                <c:pt idx="14">
                  <c:v>43820</c:v>
                </c:pt>
                <c:pt idx="15">
                  <c:v>43827</c:v>
                </c:pt>
                <c:pt idx="16">
                  <c:v>43834</c:v>
                </c:pt>
                <c:pt idx="17">
                  <c:v>43841</c:v>
                </c:pt>
                <c:pt idx="18">
                  <c:v>43848</c:v>
                </c:pt>
                <c:pt idx="19">
                  <c:v>43855</c:v>
                </c:pt>
                <c:pt idx="20">
                  <c:v>43862</c:v>
                </c:pt>
                <c:pt idx="21">
                  <c:v>43869</c:v>
                </c:pt>
                <c:pt idx="22">
                  <c:v>43876</c:v>
                </c:pt>
                <c:pt idx="23">
                  <c:v>43883</c:v>
                </c:pt>
                <c:pt idx="24">
                  <c:v>43890</c:v>
                </c:pt>
                <c:pt idx="25">
                  <c:v>43897</c:v>
                </c:pt>
                <c:pt idx="26">
                  <c:v>43904</c:v>
                </c:pt>
                <c:pt idx="27">
                  <c:v>43911</c:v>
                </c:pt>
                <c:pt idx="28">
                  <c:v>43918</c:v>
                </c:pt>
                <c:pt idx="29">
                  <c:v>43925</c:v>
                </c:pt>
                <c:pt idx="30">
                  <c:v>43932</c:v>
                </c:pt>
                <c:pt idx="31">
                  <c:v>43939</c:v>
                </c:pt>
                <c:pt idx="32">
                  <c:v>43946</c:v>
                </c:pt>
                <c:pt idx="33">
                  <c:v>43953</c:v>
                </c:pt>
                <c:pt idx="34">
                  <c:v>43960</c:v>
                </c:pt>
                <c:pt idx="35">
                  <c:v>43967</c:v>
                </c:pt>
                <c:pt idx="36">
                  <c:v>43974</c:v>
                </c:pt>
                <c:pt idx="37">
                  <c:v>43981</c:v>
                </c:pt>
                <c:pt idx="38">
                  <c:v>43988</c:v>
                </c:pt>
                <c:pt idx="39">
                  <c:v>43995</c:v>
                </c:pt>
                <c:pt idx="40">
                  <c:v>44002</c:v>
                </c:pt>
                <c:pt idx="41">
                  <c:v>44009</c:v>
                </c:pt>
                <c:pt idx="42">
                  <c:v>44016</c:v>
                </c:pt>
                <c:pt idx="43">
                  <c:v>44023</c:v>
                </c:pt>
                <c:pt idx="44">
                  <c:v>44030</c:v>
                </c:pt>
                <c:pt idx="45">
                  <c:v>44037</c:v>
                </c:pt>
                <c:pt idx="46">
                  <c:v>44044</c:v>
                </c:pt>
                <c:pt idx="47">
                  <c:v>44051</c:v>
                </c:pt>
                <c:pt idx="48">
                  <c:v>44058</c:v>
                </c:pt>
                <c:pt idx="49">
                  <c:v>44065</c:v>
                </c:pt>
                <c:pt idx="50">
                  <c:v>44072</c:v>
                </c:pt>
                <c:pt idx="51">
                  <c:v>44079</c:v>
                </c:pt>
                <c:pt idx="52">
                  <c:v>44086</c:v>
                </c:pt>
                <c:pt idx="53">
                  <c:v>44093</c:v>
                </c:pt>
                <c:pt idx="54">
                  <c:v>44100</c:v>
                </c:pt>
                <c:pt idx="55">
                  <c:v>44107</c:v>
                </c:pt>
                <c:pt idx="56">
                  <c:v>44114</c:v>
                </c:pt>
                <c:pt idx="57">
                  <c:v>44121</c:v>
                </c:pt>
                <c:pt idx="58">
                  <c:v>44128</c:v>
                </c:pt>
                <c:pt idx="59">
                  <c:v>44135</c:v>
                </c:pt>
                <c:pt idx="60">
                  <c:v>44142</c:v>
                </c:pt>
                <c:pt idx="61">
                  <c:v>44149</c:v>
                </c:pt>
                <c:pt idx="62">
                  <c:v>44156</c:v>
                </c:pt>
                <c:pt idx="63">
                  <c:v>44163</c:v>
                </c:pt>
                <c:pt idx="64">
                  <c:v>44170</c:v>
                </c:pt>
                <c:pt idx="65">
                  <c:v>44177</c:v>
                </c:pt>
                <c:pt idx="66">
                  <c:v>44184</c:v>
                </c:pt>
                <c:pt idx="67">
                  <c:v>44191</c:v>
                </c:pt>
                <c:pt idx="68">
                  <c:v>44198</c:v>
                </c:pt>
                <c:pt idx="69">
                  <c:v>44205</c:v>
                </c:pt>
                <c:pt idx="70">
                  <c:v>44212</c:v>
                </c:pt>
                <c:pt idx="71">
                  <c:v>44219</c:v>
                </c:pt>
                <c:pt idx="72">
                  <c:v>44226</c:v>
                </c:pt>
                <c:pt idx="73">
                  <c:v>44233</c:v>
                </c:pt>
                <c:pt idx="74">
                  <c:v>44240</c:v>
                </c:pt>
                <c:pt idx="75">
                  <c:v>44247</c:v>
                </c:pt>
                <c:pt idx="76">
                  <c:v>44254</c:v>
                </c:pt>
                <c:pt idx="77">
                  <c:v>44261</c:v>
                </c:pt>
                <c:pt idx="78">
                  <c:v>44268</c:v>
                </c:pt>
                <c:pt idx="79">
                  <c:v>44275</c:v>
                </c:pt>
                <c:pt idx="80">
                  <c:v>44282</c:v>
                </c:pt>
                <c:pt idx="81">
                  <c:v>44289</c:v>
                </c:pt>
                <c:pt idx="82">
                  <c:v>44296</c:v>
                </c:pt>
                <c:pt idx="83">
                  <c:v>44303</c:v>
                </c:pt>
                <c:pt idx="84">
                  <c:v>44310</c:v>
                </c:pt>
                <c:pt idx="85">
                  <c:v>44317</c:v>
                </c:pt>
                <c:pt idx="86">
                  <c:v>44323</c:v>
                </c:pt>
              </c:numCache>
            </c:numRef>
          </c:cat>
          <c:val>
            <c:numRef>
              <c:f>'Oil Crops Char Gallery Fig 1'!$C$2:$C$89</c:f>
              <c:numCache>
                <c:formatCode>0.00</c:formatCode>
                <c:ptCount val="88"/>
                <c:pt idx="0">
                  <c:v>28.41</c:v>
                </c:pt>
                <c:pt idx="1">
                  <c:v>28.46</c:v>
                </c:pt>
                <c:pt idx="2">
                  <c:v>29.54</c:v>
                </c:pt>
                <c:pt idx="3">
                  <c:v>28.76</c:v>
                </c:pt>
                <c:pt idx="4">
                  <c:v>29.16</c:v>
                </c:pt>
                <c:pt idx="5">
                  <c:v>29.67</c:v>
                </c:pt>
                <c:pt idx="6">
                  <c:v>30.18</c:v>
                </c:pt>
                <c:pt idx="7">
                  <c:v>30.74</c:v>
                </c:pt>
                <c:pt idx="8">
                  <c:v>30.835000000000001</c:v>
                </c:pt>
                <c:pt idx="9">
                  <c:v>31.545000000000002</c:v>
                </c:pt>
                <c:pt idx="10">
                  <c:v>30.44</c:v>
                </c:pt>
                <c:pt idx="11">
                  <c:v>30.375</c:v>
                </c:pt>
                <c:pt idx="12">
                  <c:v>29.585000000000001</c:v>
                </c:pt>
                <c:pt idx="13">
                  <c:v>29.715</c:v>
                </c:pt>
                <c:pt idx="14">
                  <c:v>31.385000000000002</c:v>
                </c:pt>
                <c:pt idx="15">
                  <c:v>33.365000000000002</c:v>
                </c:pt>
                <c:pt idx="16">
                  <c:v>34.015000000000001</c:v>
                </c:pt>
                <c:pt idx="17">
                  <c:v>34.905000000000001</c:v>
                </c:pt>
                <c:pt idx="18">
                  <c:v>34.46</c:v>
                </c:pt>
                <c:pt idx="19">
                  <c:v>33.414999999999999</c:v>
                </c:pt>
                <c:pt idx="20">
                  <c:v>32.445</c:v>
                </c:pt>
                <c:pt idx="21">
                  <c:v>30.885000000000002</c:v>
                </c:pt>
                <c:pt idx="22">
                  <c:v>30.984999999999999</c:v>
                </c:pt>
                <c:pt idx="23">
                  <c:v>30.75</c:v>
                </c:pt>
                <c:pt idx="24">
                  <c:v>30.31</c:v>
                </c:pt>
                <c:pt idx="25">
                  <c:v>29.024999999999999</c:v>
                </c:pt>
                <c:pt idx="26">
                  <c:v>29.265000000000001</c:v>
                </c:pt>
                <c:pt idx="27">
                  <c:v>27.155000000000001</c:v>
                </c:pt>
                <c:pt idx="28">
                  <c:v>25.26</c:v>
                </c:pt>
                <c:pt idx="29">
                  <c:v>26.46</c:v>
                </c:pt>
                <c:pt idx="30">
                  <c:v>26.344999999999999</c:v>
                </c:pt>
                <c:pt idx="31">
                  <c:v>27.05</c:v>
                </c:pt>
                <c:pt idx="32">
                  <c:v>25.934999999999999</c:v>
                </c:pt>
                <c:pt idx="33">
                  <c:v>24.83</c:v>
                </c:pt>
                <c:pt idx="34">
                  <c:v>24.95</c:v>
                </c:pt>
                <c:pt idx="35">
                  <c:v>24.87</c:v>
                </c:pt>
                <c:pt idx="36">
                  <c:v>24.83</c:v>
                </c:pt>
                <c:pt idx="37">
                  <c:v>25.6</c:v>
                </c:pt>
                <c:pt idx="38">
                  <c:v>25.885000000000002</c:v>
                </c:pt>
                <c:pt idx="39">
                  <c:v>26.765000000000001</c:v>
                </c:pt>
                <c:pt idx="40">
                  <c:v>26.59</c:v>
                </c:pt>
                <c:pt idx="41">
                  <c:v>26.73</c:v>
                </c:pt>
                <c:pt idx="42">
                  <c:v>26.43</c:v>
                </c:pt>
                <c:pt idx="43">
                  <c:v>26.9</c:v>
                </c:pt>
                <c:pt idx="44">
                  <c:v>27.614999999999998</c:v>
                </c:pt>
                <c:pt idx="45">
                  <c:v>28.315000000000001</c:v>
                </c:pt>
                <c:pt idx="46">
                  <c:v>29.725000000000001</c:v>
                </c:pt>
                <c:pt idx="47">
                  <c:v>29.734999999999999</c:v>
                </c:pt>
                <c:pt idx="48">
                  <c:v>31.245000000000001</c:v>
                </c:pt>
                <c:pt idx="49">
                  <c:v>31.475000000000001</c:v>
                </c:pt>
                <c:pt idx="50">
                  <c:v>31.875</c:v>
                </c:pt>
                <c:pt idx="51">
                  <c:v>33.515000000000001</c:v>
                </c:pt>
                <c:pt idx="52">
                  <c:v>34.375</c:v>
                </c:pt>
                <c:pt idx="53">
                  <c:v>33.79</c:v>
                </c:pt>
                <c:pt idx="54">
                  <c:v>35.18</c:v>
                </c:pt>
                <c:pt idx="55">
                  <c:v>33.67</c:v>
                </c:pt>
                <c:pt idx="56">
                  <c:v>33.24</c:v>
                </c:pt>
                <c:pt idx="57">
                  <c:v>33.765000000000001</c:v>
                </c:pt>
                <c:pt idx="58">
                  <c:v>34.04</c:v>
                </c:pt>
                <c:pt idx="59">
                  <c:v>33.909999999999997</c:v>
                </c:pt>
                <c:pt idx="60">
                  <c:v>34.619999999999997</c:v>
                </c:pt>
                <c:pt idx="61">
                  <c:v>35.255000000000003</c:v>
                </c:pt>
                <c:pt idx="62">
                  <c:v>37.369999999999997</c:v>
                </c:pt>
                <c:pt idx="63">
                  <c:v>39.17</c:v>
                </c:pt>
                <c:pt idx="64">
                  <c:v>39.68</c:v>
                </c:pt>
                <c:pt idx="65">
                  <c:v>39.744999999999997</c:v>
                </c:pt>
                <c:pt idx="66">
                  <c:v>51.74</c:v>
                </c:pt>
                <c:pt idx="67">
                  <c:v>40.39</c:v>
                </c:pt>
                <c:pt idx="68">
                  <c:v>41.62</c:v>
                </c:pt>
                <c:pt idx="69">
                  <c:v>43.55</c:v>
                </c:pt>
                <c:pt idx="70">
                  <c:v>44.65</c:v>
                </c:pt>
                <c:pt idx="71">
                  <c:v>43.604999999999997</c:v>
                </c:pt>
                <c:pt idx="72">
                  <c:v>43.795000000000002</c:v>
                </c:pt>
                <c:pt idx="73">
                  <c:v>45.28</c:v>
                </c:pt>
                <c:pt idx="74">
                  <c:v>45.87</c:v>
                </c:pt>
                <c:pt idx="75">
                  <c:v>47.25</c:v>
                </c:pt>
                <c:pt idx="76">
                  <c:v>48.81</c:v>
                </c:pt>
                <c:pt idx="77">
                  <c:v>51.645000000000003</c:v>
                </c:pt>
                <c:pt idx="78">
                  <c:v>52.77</c:v>
                </c:pt>
                <c:pt idx="79">
                  <c:v>55.674999999999997</c:v>
                </c:pt>
                <c:pt idx="80">
                  <c:v>58.965000000000003</c:v>
                </c:pt>
                <c:pt idx="81">
                  <c:v>60.895000000000003</c:v>
                </c:pt>
                <c:pt idx="82">
                  <c:v>54.96</c:v>
                </c:pt>
                <c:pt idx="83">
                  <c:v>58.42</c:v>
                </c:pt>
                <c:pt idx="84">
                  <c:v>58.43</c:v>
                </c:pt>
                <c:pt idx="85">
                  <c:v>63.844999999999999</c:v>
                </c:pt>
                <c:pt idx="86">
                  <c:v>70.814999999999998</c:v>
                </c:pt>
                <c:pt idx="87">
                  <c:v>70.83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7-4E8E-BDCA-B2857760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02544"/>
        <c:axId val="97702608"/>
      </c:lineChart>
      <c:dateAx>
        <c:axId val="90302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702608"/>
        <c:crosses val="autoZero"/>
        <c:auto val="1"/>
        <c:lblOffset val="100"/>
        <c:baseTimeUnit val="days"/>
      </c:dateAx>
      <c:valAx>
        <c:axId val="9770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 algn="l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 </a:t>
                </a:r>
                <a:br>
                  <a:rPr lang="en-US" sz="900" baseline="0"/>
                </a:br>
                <a:r>
                  <a:rPr lang="en-US" sz="900" baseline="0"/>
                  <a:t>h</a:t>
                </a:r>
                <a:r>
                  <a:rPr lang="en-US" sz="900"/>
                  <a:t>undredweight</a:t>
                </a:r>
              </a:p>
            </c:rich>
          </c:tx>
          <c:layout>
            <c:manualLayout>
              <c:xMode val="edge"/>
              <c:yMode val="edge"/>
              <c:x val="2.9914529914529916E-2"/>
              <c:y val="8.31167658512849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 algn="l"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030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elveticaNeueforSAS" panose="020B0604020202020204" pitchFamily="34" charset="0"/>
                <a:ea typeface="+mn-ea"/>
                <a:cs typeface="+mn-cs"/>
              </a:defRPr>
            </a:pPr>
            <a:r>
              <a:rPr lang="en-US"/>
              <a:t>Record soybean production and crush globally</a:t>
            </a:r>
          </a:p>
        </c:rich>
      </c:tx>
      <c:layout>
        <c:manualLayout>
          <c:xMode val="edge"/>
          <c:yMode val="edge"/>
          <c:x val="0.28037738360524811"/>
          <c:y val="1.247401247401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elveticaNeueforSAS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v>Argentine soybean production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'Oil Crops Char Gallery Fig 2'!$A$2:$A$13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'Oil Crops Char Gallery Fig 2'!$D$2:$D$13</c:f>
              <c:numCache>
                <c:formatCode>#,##0</c:formatCode>
                <c:ptCount val="12"/>
                <c:pt idx="0">
                  <c:v>49000</c:v>
                </c:pt>
                <c:pt idx="1">
                  <c:v>40100</c:v>
                </c:pt>
                <c:pt idx="2">
                  <c:v>49300</c:v>
                </c:pt>
                <c:pt idx="3">
                  <c:v>53400</c:v>
                </c:pt>
                <c:pt idx="4">
                  <c:v>61450</c:v>
                </c:pt>
                <c:pt idx="5">
                  <c:v>58800</c:v>
                </c:pt>
                <c:pt idx="6">
                  <c:v>55000</c:v>
                </c:pt>
                <c:pt idx="7">
                  <c:v>37800</c:v>
                </c:pt>
                <c:pt idx="8">
                  <c:v>55300</c:v>
                </c:pt>
                <c:pt idx="9">
                  <c:v>48800</c:v>
                </c:pt>
                <c:pt idx="10">
                  <c:v>47000</c:v>
                </c:pt>
                <c:pt idx="11">
                  <c:v>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D-404D-AECB-C97A67D44E4E}"/>
            </c:ext>
          </c:extLst>
        </c:ser>
        <c:ser>
          <c:idx val="3"/>
          <c:order val="3"/>
          <c:tx>
            <c:v>Brazilian soybean production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'Oil Crops Char Gallery Fig 2'!$A$2:$A$13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'Oil Crops Char Gallery Fig 2'!$E$2:$E$13</c:f>
              <c:numCache>
                <c:formatCode>#,##0</c:formatCode>
                <c:ptCount val="12"/>
                <c:pt idx="0">
                  <c:v>75300</c:v>
                </c:pt>
                <c:pt idx="1">
                  <c:v>66500</c:v>
                </c:pt>
                <c:pt idx="2">
                  <c:v>82000</c:v>
                </c:pt>
                <c:pt idx="3">
                  <c:v>86200</c:v>
                </c:pt>
                <c:pt idx="4">
                  <c:v>97100</c:v>
                </c:pt>
                <c:pt idx="5">
                  <c:v>95700</c:v>
                </c:pt>
                <c:pt idx="6">
                  <c:v>114900</c:v>
                </c:pt>
                <c:pt idx="7">
                  <c:v>123400</c:v>
                </c:pt>
                <c:pt idx="8">
                  <c:v>119700</c:v>
                </c:pt>
                <c:pt idx="9">
                  <c:v>128500</c:v>
                </c:pt>
                <c:pt idx="10">
                  <c:v>136000</c:v>
                </c:pt>
                <c:pt idx="11">
                  <c:v>144000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D-404D-AECB-C97A67D44E4E}"/>
            </c:ext>
          </c:extLst>
        </c:ser>
        <c:ser>
          <c:idx val="4"/>
          <c:order val="4"/>
          <c:tx>
            <c:v>United States soybean production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'Oil Crops Char Gallery Fig 2'!$A$2:$A$13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'Oil Crops Char Gallery Fig 2'!$F$2:$F$13</c:f>
              <c:numCache>
                <c:formatCode>#,##0</c:formatCode>
                <c:ptCount val="12"/>
                <c:pt idx="0">
                  <c:v>90663</c:v>
                </c:pt>
                <c:pt idx="1">
                  <c:v>84291</c:v>
                </c:pt>
                <c:pt idx="2">
                  <c:v>82791</c:v>
                </c:pt>
                <c:pt idx="3">
                  <c:v>91363</c:v>
                </c:pt>
                <c:pt idx="4">
                  <c:v>106905</c:v>
                </c:pt>
                <c:pt idx="5">
                  <c:v>106869</c:v>
                </c:pt>
                <c:pt idx="6">
                  <c:v>116931</c:v>
                </c:pt>
                <c:pt idx="7">
                  <c:v>120065</c:v>
                </c:pt>
                <c:pt idx="8">
                  <c:v>120515</c:v>
                </c:pt>
                <c:pt idx="9">
                  <c:v>96667</c:v>
                </c:pt>
                <c:pt idx="10">
                  <c:v>112549</c:v>
                </c:pt>
                <c:pt idx="11">
                  <c:v>119884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D-404D-AECB-C97A67D44E4E}"/>
            </c:ext>
          </c:extLst>
        </c:ser>
        <c:ser>
          <c:idx val="5"/>
          <c:order val="5"/>
          <c:tx>
            <c:v>Rest of world soybean production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'Oil Crops Char Gallery Fig 2'!$G$2:$G$13</c:f>
              <c:numCache>
                <c:formatCode>#,##0</c:formatCode>
                <c:ptCount val="12"/>
                <c:pt idx="0">
                  <c:v>49770</c:v>
                </c:pt>
                <c:pt idx="1">
                  <c:v>49941</c:v>
                </c:pt>
                <c:pt idx="2">
                  <c:v>54866</c:v>
                </c:pt>
                <c:pt idx="3">
                  <c:v>51736</c:v>
                </c:pt>
                <c:pt idx="4">
                  <c:v>55736</c:v>
                </c:pt>
                <c:pt idx="5">
                  <c:v>54050</c:v>
                </c:pt>
                <c:pt idx="6">
                  <c:v>63350</c:v>
                </c:pt>
                <c:pt idx="7">
                  <c:v>62917</c:v>
                </c:pt>
                <c:pt idx="8">
                  <c:v>65763</c:v>
                </c:pt>
                <c:pt idx="9">
                  <c:v>65452</c:v>
                </c:pt>
                <c:pt idx="10">
                  <c:v>67398</c:v>
                </c:pt>
                <c:pt idx="11">
                  <c:v>69641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D-404D-AECB-C97A67D44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1225424"/>
        <c:axId val="403830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'Oil Crops Char Gallery Fig 2'!$B$1</c15:sqref>
                        </c15:formulaRef>
                      </c:ext>
                    </c:extLst>
                    <c:strCache>
                      <c:ptCount val="1"/>
                      <c:pt idx="0">
                        <c:v>Worldwide soybean production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'Oil Crops Char Gallery Fig 2'!$A$2:$A$13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'Oil Crops Char Gallery Fig 2'!$B$2:$B$13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264733</c:v>
                      </c:pt>
                      <c:pt idx="1">
                        <c:v>240832</c:v>
                      </c:pt>
                      <c:pt idx="2">
                        <c:v>268957</c:v>
                      </c:pt>
                      <c:pt idx="3">
                        <c:v>282699</c:v>
                      </c:pt>
                      <c:pt idx="4">
                        <c:v>321191</c:v>
                      </c:pt>
                      <c:pt idx="5">
                        <c:v>315419</c:v>
                      </c:pt>
                      <c:pt idx="6">
                        <c:v>350181</c:v>
                      </c:pt>
                      <c:pt idx="7">
                        <c:v>344182</c:v>
                      </c:pt>
                      <c:pt idx="8">
                        <c:v>361278</c:v>
                      </c:pt>
                      <c:pt idx="9">
                        <c:v>339419</c:v>
                      </c:pt>
                      <c:pt idx="10">
                        <c:v>362947</c:v>
                      </c:pt>
                      <c:pt idx="11">
                        <c:v>385525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8DD-404D-AECB-C97A67D44E4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'Oil Crops Char Gallery Fig 2'!$C$1</c:f>
              <c:strCache>
                <c:ptCount val="1"/>
                <c:pt idx="0">
                  <c:v>Worldwide soybean crush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2'!$A$2:$A$13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'Oil Crops Char Gallery Fig 2'!$C$2:$C$13</c:f>
              <c:numCache>
                <c:formatCode>#,##0</c:formatCode>
                <c:ptCount val="12"/>
                <c:pt idx="0">
                  <c:v>222192</c:v>
                </c:pt>
                <c:pt idx="1">
                  <c:v>229194</c:v>
                </c:pt>
                <c:pt idx="2">
                  <c:v>231873</c:v>
                </c:pt>
                <c:pt idx="3">
                  <c:v>242957</c:v>
                </c:pt>
                <c:pt idx="4">
                  <c:v>264954</c:v>
                </c:pt>
                <c:pt idx="5">
                  <c:v>275659</c:v>
                </c:pt>
                <c:pt idx="6">
                  <c:v>287666</c:v>
                </c:pt>
                <c:pt idx="7">
                  <c:v>294992</c:v>
                </c:pt>
                <c:pt idx="8">
                  <c:v>298671</c:v>
                </c:pt>
                <c:pt idx="9">
                  <c:v>311496</c:v>
                </c:pt>
                <c:pt idx="10">
                  <c:v>322402</c:v>
                </c:pt>
                <c:pt idx="11">
                  <c:v>331694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DD-404D-AECB-C97A67D44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25424"/>
        <c:axId val="403830688"/>
      </c:lineChart>
      <c:catAx>
        <c:axId val="1212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elveticaNeueforSAS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03830688"/>
        <c:crosses val="autoZero"/>
        <c:auto val="1"/>
        <c:lblAlgn val="ctr"/>
        <c:lblOffset val="100"/>
        <c:noMultiLvlLbl val="0"/>
      </c:catAx>
      <c:valAx>
        <c:axId val="40383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elveticaNeueforSAS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12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981750459566206E-2"/>
          <c:y val="0.91189876733183817"/>
          <c:w val="0.93655436363137523"/>
          <c:h val="6.1605143393773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elveticaNeueforSAS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HelveticaNeueforSAS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5</xdr:row>
      <xdr:rowOff>127000</xdr:rowOff>
    </xdr:from>
    <xdr:to>
      <xdr:col>26</xdr:col>
      <xdr:colOff>127000</xdr:colOff>
      <xdr:row>46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80F2F-23A9-47C0-999A-EA9DB1CEE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0.92235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6CFA74-92FD-44CB-A3C5-48032582B9B3}"/>
            </a:ext>
          </a:extLst>
        </cdr:cNvPr>
        <cdr:cNvSpPr txBox="1"/>
      </cdr:nvSpPr>
      <cdr:spPr>
        <a:xfrm xmlns:a="http://schemas.openxmlformats.org/drawingml/2006/main">
          <a:off x="0" y="7539653"/>
          <a:ext cx="12431485" cy="6347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HelveticaNeueforSAS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1200" baseline="0">
              <a:latin typeface="HelveticaNeueforSAS" panose="020B0604020202020204" pitchFamily="34" charset="0"/>
              <a:cs typeface="Arial" panose="020B0604020202020204" pitchFamily="34" charset="0"/>
            </a:rPr>
            <a:t> Research Service using data from World Agricultural Outlook Board, </a:t>
          </a:r>
          <a:r>
            <a:rPr lang="en-US" sz="1200" i="1" baseline="0">
              <a:latin typeface="HelveticaNeueforSAS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1200" baseline="0">
              <a:latin typeface="HelveticaNeueforSAS" panose="020B0604020202020204" pitchFamily="34" charset="0"/>
              <a:cs typeface="Arial" panose="020B0604020202020204" pitchFamily="34" charset="0"/>
            </a:rPr>
            <a:t>.</a:t>
          </a:r>
          <a:endParaRPr lang="en-US" sz="1200">
            <a:latin typeface="HelveticaNeueforSAS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0.02947</cdr:x>
      <cdr:y>0.01764</cdr:y>
    </cdr:from>
    <cdr:to>
      <cdr:x>0.07825</cdr:x>
      <cdr:y>0.04233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A0DA0C7-41AE-4027-B128-C490D3ECEEA5}"/>
            </a:ext>
          </a:extLst>
        </cdr:cNvPr>
        <cdr:cNvSpPr txBox="1"/>
      </cdr:nvSpPr>
      <cdr:spPr>
        <a:xfrm xmlns:a="http://schemas.openxmlformats.org/drawingml/2006/main">
          <a:off x="368300" y="127000"/>
          <a:ext cx="6096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0.0153</cdr:x>
      <cdr:y>0.0111</cdr:y>
    </cdr:from>
    <cdr:to>
      <cdr:x>0.1404</cdr:x>
      <cdr:y>0.04724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0FBEB2B-0FB4-4D33-90D1-5B8C49639C56}"/>
            </a:ext>
          </a:extLst>
        </cdr:cNvPr>
        <cdr:cNvSpPr txBox="1"/>
      </cdr:nvSpPr>
      <cdr:spPr>
        <a:xfrm xmlns:a="http://schemas.openxmlformats.org/drawingml/2006/main">
          <a:off x="190240" y="90715"/>
          <a:ext cx="1555102" cy="295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Million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bushels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457200</xdr:colOff>
      <xdr:row>20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55F638-12D8-4D0F-B77B-D470A7AE7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0.91686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25140"/>
          <a:ext cx="594360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Research Service using data from USDA, Agricultural Marketing Service.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13</xdr:row>
      <xdr:rowOff>121920</xdr:rowOff>
    </xdr:from>
    <xdr:to>
      <xdr:col>6</xdr:col>
      <xdr:colOff>1803400</xdr:colOff>
      <xdr:row>47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0FAA68-8322-4E14-86E3-1E012A371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1206500</xdr:colOff>
      <xdr:row>14</xdr:row>
      <xdr:rowOff>25400</xdr:rowOff>
    </xdr:from>
    <xdr:to>
      <xdr:col>2</xdr:col>
      <xdr:colOff>1150620</xdr:colOff>
      <xdr:row>15</xdr:row>
      <xdr:rowOff>137160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BF6681-1C47-4E6E-A273-815CDE5BF245}"/>
            </a:ext>
          </a:extLst>
        </xdr:cNvPr>
        <xdr:cNvSpPr txBox="1"/>
      </xdr:nvSpPr>
      <xdr:spPr>
        <a:xfrm>
          <a:off x="2128520" y="2585720"/>
          <a:ext cx="1795780" cy="294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Thousand metric tons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0.96549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6CFA74-92FD-44CB-A3C5-48032582B9B3}"/>
            </a:ext>
          </a:extLst>
        </cdr:cNvPr>
        <cdr:cNvSpPr txBox="1"/>
      </cdr:nvSpPr>
      <cdr:spPr>
        <a:xfrm xmlns:a="http://schemas.openxmlformats.org/drawingml/2006/main">
          <a:off x="0" y="5897880"/>
          <a:ext cx="8714740" cy="2108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Research Service using data from USDA, Foreign Agricultural Service, </a:t>
          </a:r>
          <a:r>
            <a:rPr lang="en-US" sz="800" i="1" baseline="0">
              <a:latin typeface="Arial" panose="020B0604020202020204" pitchFamily="34" charset="0"/>
              <a:cs typeface="Arial" panose="020B0604020202020204" pitchFamily="34" charset="0"/>
            </a:rPr>
            <a:t>Oilseeds Markets and Trade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18" sqref="A18"/>
    </sheetView>
  </sheetViews>
  <sheetFormatPr defaultColWidth="9.77734375" defaultRowHeight="13.2" x14ac:dyDescent="0.25"/>
  <cols>
    <col min="1" max="1" width="64.77734375" style="28" customWidth="1"/>
    <col min="2" max="16384" width="9.77734375" style="20"/>
  </cols>
  <sheetData>
    <row r="1" spans="1:3" ht="44.25" customHeight="1" x14ac:dyDescent="0.25">
      <c r="A1" s="19"/>
    </row>
    <row r="2" spans="1:3" ht="17.399999999999999" x14ac:dyDescent="0.3">
      <c r="A2" s="21" t="s">
        <v>94</v>
      </c>
    </row>
    <row r="3" spans="1:3" s="23" customFormat="1" ht="10.199999999999999" x14ac:dyDescent="0.2">
      <c r="A3" s="22"/>
    </row>
    <row r="4" spans="1:3" x14ac:dyDescent="0.25">
      <c r="A4" s="24" t="s">
        <v>95</v>
      </c>
    </row>
    <row r="5" spans="1:3" x14ac:dyDescent="0.25">
      <c r="A5" s="32">
        <f ca="1">TODAY()</f>
        <v>44341</v>
      </c>
      <c r="B5" s="25"/>
    </row>
    <row r="6" spans="1:3" s="23" customFormat="1" x14ac:dyDescent="0.25">
      <c r="A6" s="22"/>
      <c r="B6" s="25"/>
      <c r="C6" s="26"/>
    </row>
    <row r="7" spans="1:3" x14ac:dyDescent="0.25">
      <c r="A7" s="31" t="s">
        <v>152</v>
      </c>
      <c r="B7" s="27"/>
      <c r="C7" s="23"/>
    </row>
    <row r="8" spans="1:3" x14ac:dyDescent="0.25">
      <c r="A8" s="31" t="s">
        <v>143</v>
      </c>
      <c r="B8" s="29"/>
    </row>
    <row r="9" spans="1:3" x14ac:dyDescent="0.25">
      <c r="A9" s="31" t="s">
        <v>144</v>
      </c>
      <c r="B9" s="29"/>
    </row>
    <row r="10" spans="1:3" x14ac:dyDescent="0.25">
      <c r="A10" s="31" t="s">
        <v>145</v>
      </c>
      <c r="B10" s="29"/>
    </row>
    <row r="11" spans="1:3" x14ac:dyDescent="0.25">
      <c r="A11" s="31" t="s">
        <v>146</v>
      </c>
      <c r="B11" s="29"/>
    </row>
    <row r="12" spans="1:3" x14ac:dyDescent="0.25">
      <c r="A12" s="31" t="s">
        <v>147</v>
      </c>
      <c r="B12" s="29"/>
    </row>
    <row r="13" spans="1:3" x14ac:dyDescent="0.25">
      <c r="A13" s="31" t="s">
        <v>148</v>
      </c>
      <c r="B13" s="29"/>
    </row>
    <row r="14" spans="1:3" x14ac:dyDescent="0.25">
      <c r="A14" s="31" t="s">
        <v>149</v>
      </c>
      <c r="B14" s="29"/>
    </row>
    <row r="15" spans="1:3" x14ac:dyDescent="0.25">
      <c r="A15" s="31" t="s">
        <v>150</v>
      </c>
      <c r="B15" s="29"/>
    </row>
    <row r="16" spans="1:3" x14ac:dyDescent="0.25">
      <c r="A16" s="31" t="s">
        <v>151</v>
      </c>
      <c r="B16" s="29"/>
    </row>
    <row r="17" spans="1:2" x14ac:dyDescent="0.25">
      <c r="A17" s="30" t="s">
        <v>133</v>
      </c>
      <c r="B17" s="29"/>
    </row>
    <row r="18" spans="1:2" s="176" customFormat="1" ht="27" customHeight="1" x14ac:dyDescent="0.25">
      <c r="A18" s="176" t="s">
        <v>183</v>
      </c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9E1D-41AB-48AB-94E4-7A32F8A997BD}">
  <dimension ref="A1:H89"/>
  <sheetViews>
    <sheetView workbookViewId="0">
      <selection activeCell="J24" sqref="J24"/>
    </sheetView>
  </sheetViews>
  <sheetFormatPr defaultRowHeight="13.8" x14ac:dyDescent="0.25"/>
  <cols>
    <col min="1" max="1" width="19" style="151" bestFit="1" customWidth="1"/>
    <col min="2" max="2" width="24.109375" style="151" bestFit="1" customWidth="1"/>
    <col min="3" max="3" width="35" style="151" bestFit="1" customWidth="1"/>
    <col min="4" max="16384" width="8.88671875" style="151"/>
  </cols>
  <sheetData>
    <row r="1" spans="1:8" x14ac:dyDescent="0.25">
      <c r="A1" s="149" t="s">
        <v>160</v>
      </c>
      <c r="B1" s="149" t="s">
        <v>161</v>
      </c>
      <c r="C1" s="150" t="s">
        <v>162</v>
      </c>
    </row>
    <row r="2" spans="1:8" x14ac:dyDescent="0.25">
      <c r="A2" s="152">
        <v>43715</v>
      </c>
      <c r="B2" s="153" t="s">
        <v>163</v>
      </c>
      <c r="C2" s="154">
        <v>28.41</v>
      </c>
    </row>
    <row r="3" spans="1:8" x14ac:dyDescent="0.25">
      <c r="A3" s="152">
        <v>43722</v>
      </c>
      <c r="B3" s="153" t="s">
        <v>163</v>
      </c>
      <c r="C3" s="154">
        <v>28.46</v>
      </c>
    </row>
    <row r="4" spans="1:8" x14ac:dyDescent="0.25">
      <c r="A4" s="152">
        <v>43729</v>
      </c>
      <c r="B4" s="153" t="s">
        <v>163</v>
      </c>
      <c r="C4" s="154">
        <v>29.54</v>
      </c>
    </row>
    <row r="5" spans="1:8" x14ac:dyDescent="0.25">
      <c r="A5" s="152">
        <v>43736</v>
      </c>
      <c r="B5" s="153" t="s">
        <v>163</v>
      </c>
      <c r="C5" s="154">
        <v>28.76</v>
      </c>
      <c r="H5" s="155"/>
    </row>
    <row r="6" spans="1:8" x14ac:dyDescent="0.25">
      <c r="A6" s="152">
        <v>43743</v>
      </c>
      <c r="B6" s="153" t="s">
        <v>163</v>
      </c>
      <c r="C6" s="154">
        <v>29.16</v>
      </c>
    </row>
    <row r="7" spans="1:8" x14ac:dyDescent="0.25">
      <c r="A7" s="152">
        <v>43750</v>
      </c>
      <c r="B7" s="153" t="s">
        <v>163</v>
      </c>
      <c r="C7" s="154">
        <v>29.67</v>
      </c>
    </row>
    <row r="8" spans="1:8" x14ac:dyDescent="0.25">
      <c r="A8" s="152">
        <v>43757</v>
      </c>
      <c r="B8" s="153" t="s">
        <v>163</v>
      </c>
      <c r="C8" s="154">
        <v>30.18</v>
      </c>
    </row>
    <row r="9" spans="1:8" x14ac:dyDescent="0.25">
      <c r="A9" s="152">
        <v>43764</v>
      </c>
      <c r="B9" s="153" t="s">
        <v>163</v>
      </c>
      <c r="C9" s="154">
        <v>30.74</v>
      </c>
    </row>
    <row r="10" spans="1:8" x14ac:dyDescent="0.25">
      <c r="A10" s="152">
        <v>43771</v>
      </c>
      <c r="B10" s="153" t="s">
        <v>163</v>
      </c>
      <c r="C10" s="154">
        <v>30.835000000000001</v>
      </c>
    </row>
    <row r="11" spans="1:8" x14ac:dyDescent="0.25">
      <c r="A11" s="152">
        <v>43778</v>
      </c>
      <c r="B11" s="153" t="s">
        <v>163</v>
      </c>
      <c r="C11" s="154">
        <v>31.545000000000002</v>
      </c>
    </row>
    <row r="12" spans="1:8" x14ac:dyDescent="0.25">
      <c r="A12" s="152">
        <v>43785</v>
      </c>
      <c r="B12" s="153" t="s">
        <v>163</v>
      </c>
      <c r="C12" s="154">
        <v>30.44</v>
      </c>
    </row>
    <row r="13" spans="1:8" x14ac:dyDescent="0.25">
      <c r="A13" s="152">
        <v>43792</v>
      </c>
      <c r="B13" s="153" t="s">
        <v>163</v>
      </c>
      <c r="C13" s="154">
        <v>30.375</v>
      </c>
    </row>
    <row r="14" spans="1:8" x14ac:dyDescent="0.25">
      <c r="A14" s="152">
        <v>43799</v>
      </c>
      <c r="B14" s="153" t="s">
        <v>163</v>
      </c>
      <c r="C14" s="154">
        <v>29.585000000000001</v>
      </c>
    </row>
    <row r="15" spans="1:8" x14ac:dyDescent="0.25">
      <c r="A15" s="152">
        <v>43806</v>
      </c>
      <c r="B15" s="153" t="s">
        <v>163</v>
      </c>
      <c r="C15" s="154">
        <v>29.715</v>
      </c>
    </row>
    <row r="16" spans="1:8" x14ac:dyDescent="0.25">
      <c r="A16" s="152">
        <v>43813</v>
      </c>
      <c r="B16" s="153" t="s">
        <v>163</v>
      </c>
      <c r="C16" s="154">
        <v>31.385000000000002</v>
      </c>
    </row>
    <row r="17" spans="1:8" x14ac:dyDescent="0.25">
      <c r="A17" s="152">
        <v>43820</v>
      </c>
      <c r="B17" s="153" t="s">
        <v>163</v>
      </c>
      <c r="C17" s="154">
        <v>33.365000000000002</v>
      </c>
    </row>
    <row r="18" spans="1:8" x14ac:dyDescent="0.25">
      <c r="A18" s="152">
        <v>43827</v>
      </c>
      <c r="B18" s="153" t="s">
        <v>163</v>
      </c>
      <c r="C18" s="154">
        <v>34.015000000000001</v>
      </c>
    </row>
    <row r="19" spans="1:8" x14ac:dyDescent="0.25">
      <c r="A19" s="152">
        <v>43834</v>
      </c>
      <c r="B19" s="153" t="s">
        <v>163</v>
      </c>
      <c r="C19" s="154">
        <v>34.905000000000001</v>
      </c>
    </row>
    <row r="20" spans="1:8" x14ac:dyDescent="0.25">
      <c r="A20" s="152">
        <v>43841</v>
      </c>
      <c r="B20" s="153" t="s">
        <v>163</v>
      </c>
      <c r="C20" s="154">
        <v>34.46</v>
      </c>
    </row>
    <row r="21" spans="1:8" x14ac:dyDescent="0.25">
      <c r="A21" s="152">
        <v>43848</v>
      </c>
      <c r="B21" s="153" t="s">
        <v>163</v>
      </c>
      <c r="C21" s="154">
        <v>33.414999999999999</v>
      </c>
      <c r="H21" s="155"/>
    </row>
    <row r="22" spans="1:8" x14ac:dyDescent="0.25">
      <c r="A22" s="152">
        <v>43855</v>
      </c>
      <c r="B22" s="153" t="s">
        <v>163</v>
      </c>
      <c r="C22" s="154">
        <v>32.445</v>
      </c>
    </row>
    <row r="23" spans="1:8" x14ac:dyDescent="0.25">
      <c r="A23" s="152">
        <v>43862</v>
      </c>
      <c r="B23" s="153" t="s">
        <v>163</v>
      </c>
      <c r="C23" s="154">
        <v>30.885000000000002</v>
      </c>
    </row>
    <row r="24" spans="1:8" x14ac:dyDescent="0.25">
      <c r="A24" s="152">
        <v>43869</v>
      </c>
      <c r="B24" s="153" t="s">
        <v>163</v>
      </c>
      <c r="C24" s="154">
        <v>30.984999999999999</v>
      </c>
    </row>
    <row r="25" spans="1:8" x14ac:dyDescent="0.25">
      <c r="A25" s="152">
        <v>43876</v>
      </c>
      <c r="B25" s="153" t="s">
        <v>163</v>
      </c>
      <c r="C25" s="154">
        <v>30.75</v>
      </c>
    </row>
    <row r="26" spans="1:8" x14ac:dyDescent="0.25">
      <c r="A26" s="152">
        <v>43883</v>
      </c>
      <c r="B26" s="153" t="s">
        <v>163</v>
      </c>
      <c r="C26" s="154">
        <v>30.31</v>
      </c>
    </row>
    <row r="27" spans="1:8" x14ac:dyDescent="0.25">
      <c r="A27" s="152">
        <v>43890</v>
      </c>
      <c r="B27" s="153" t="s">
        <v>163</v>
      </c>
      <c r="C27" s="154">
        <v>29.024999999999999</v>
      </c>
    </row>
    <row r="28" spans="1:8" x14ac:dyDescent="0.25">
      <c r="A28" s="152">
        <v>43897</v>
      </c>
      <c r="B28" s="153" t="s">
        <v>163</v>
      </c>
      <c r="C28" s="154">
        <v>29.265000000000001</v>
      </c>
    </row>
    <row r="29" spans="1:8" x14ac:dyDescent="0.25">
      <c r="A29" s="152">
        <v>43904</v>
      </c>
      <c r="B29" s="153" t="s">
        <v>163</v>
      </c>
      <c r="C29" s="154">
        <v>27.155000000000001</v>
      </c>
    </row>
    <row r="30" spans="1:8" x14ac:dyDescent="0.25">
      <c r="A30" s="152">
        <v>43911</v>
      </c>
      <c r="B30" s="153" t="s">
        <v>163</v>
      </c>
      <c r="C30" s="154">
        <v>25.26</v>
      </c>
    </row>
    <row r="31" spans="1:8" x14ac:dyDescent="0.25">
      <c r="A31" s="152">
        <v>43918</v>
      </c>
      <c r="B31" s="153" t="s">
        <v>163</v>
      </c>
      <c r="C31" s="154">
        <v>26.46</v>
      </c>
    </row>
    <row r="32" spans="1:8" x14ac:dyDescent="0.25">
      <c r="A32" s="152">
        <v>43925</v>
      </c>
      <c r="B32" s="153" t="s">
        <v>163</v>
      </c>
      <c r="C32" s="154">
        <v>26.344999999999999</v>
      </c>
    </row>
    <row r="33" spans="1:3" x14ac:dyDescent="0.25">
      <c r="A33" s="152">
        <v>43932</v>
      </c>
      <c r="B33" s="153" t="s">
        <v>163</v>
      </c>
      <c r="C33" s="154">
        <v>27.05</v>
      </c>
    </row>
    <row r="34" spans="1:3" x14ac:dyDescent="0.25">
      <c r="A34" s="152">
        <v>43939</v>
      </c>
      <c r="B34" s="153" t="s">
        <v>163</v>
      </c>
      <c r="C34" s="154">
        <v>25.934999999999999</v>
      </c>
    </row>
    <row r="35" spans="1:3" x14ac:dyDescent="0.25">
      <c r="A35" s="152">
        <v>43946</v>
      </c>
      <c r="B35" s="153" t="s">
        <v>163</v>
      </c>
      <c r="C35" s="154">
        <v>24.83</v>
      </c>
    </row>
    <row r="36" spans="1:3" x14ac:dyDescent="0.25">
      <c r="A36" s="152">
        <v>43953</v>
      </c>
      <c r="B36" s="153" t="s">
        <v>163</v>
      </c>
      <c r="C36" s="154">
        <v>24.95</v>
      </c>
    </row>
    <row r="37" spans="1:3" x14ac:dyDescent="0.25">
      <c r="A37" s="152">
        <v>43960</v>
      </c>
      <c r="B37" s="153" t="s">
        <v>163</v>
      </c>
      <c r="C37" s="154">
        <v>24.87</v>
      </c>
    </row>
    <row r="38" spans="1:3" x14ac:dyDescent="0.25">
      <c r="A38" s="152">
        <v>43967</v>
      </c>
      <c r="B38" s="153" t="s">
        <v>163</v>
      </c>
      <c r="C38" s="154">
        <v>24.83</v>
      </c>
    </row>
    <row r="39" spans="1:3" x14ac:dyDescent="0.25">
      <c r="A39" s="152">
        <v>43974</v>
      </c>
      <c r="B39" s="153" t="s">
        <v>163</v>
      </c>
      <c r="C39" s="154">
        <v>25.6</v>
      </c>
    </row>
    <row r="40" spans="1:3" x14ac:dyDescent="0.25">
      <c r="A40" s="152">
        <v>43981</v>
      </c>
      <c r="B40" s="153" t="s">
        <v>163</v>
      </c>
      <c r="C40" s="154">
        <v>25.885000000000002</v>
      </c>
    </row>
    <row r="41" spans="1:3" x14ac:dyDescent="0.25">
      <c r="A41" s="152">
        <v>43988</v>
      </c>
      <c r="B41" s="153" t="s">
        <v>163</v>
      </c>
      <c r="C41" s="154">
        <v>26.765000000000001</v>
      </c>
    </row>
    <row r="42" spans="1:3" x14ac:dyDescent="0.25">
      <c r="A42" s="152">
        <v>43995</v>
      </c>
      <c r="B42" s="153" t="s">
        <v>163</v>
      </c>
      <c r="C42" s="154">
        <v>26.59</v>
      </c>
    </row>
    <row r="43" spans="1:3" x14ac:dyDescent="0.25">
      <c r="A43" s="152">
        <v>44002</v>
      </c>
      <c r="B43" s="153" t="s">
        <v>163</v>
      </c>
      <c r="C43" s="154">
        <v>26.73</v>
      </c>
    </row>
    <row r="44" spans="1:3" x14ac:dyDescent="0.25">
      <c r="A44" s="152">
        <v>44009</v>
      </c>
      <c r="B44" s="153" t="s">
        <v>163</v>
      </c>
      <c r="C44" s="154">
        <v>26.43</v>
      </c>
    </row>
    <row r="45" spans="1:3" x14ac:dyDescent="0.25">
      <c r="A45" s="152">
        <v>44016</v>
      </c>
      <c r="B45" s="153" t="s">
        <v>163</v>
      </c>
      <c r="C45" s="154">
        <v>26.9</v>
      </c>
    </row>
    <row r="46" spans="1:3" x14ac:dyDescent="0.25">
      <c r="A46" s="152">
        <v>44023</v>
      </c>
      <c r="B46" s="153" t="s">
        <v>163</v>
      </c>
      <c r="C46" s="154">
        <v>27.614999999999998</v>
      </c>
    </row>
    <row r="47" spans="1:3" x14ac:dyDescent="0.25">
      <c r="A47" s="152">
        <v>44030</v>
      </c>
      <c r="B47" s="153" t="s">
        <v>163</v>
      </c>
      <c r="C47" s="154">
        <v>28.315000000000001</v>
      </c>
    </row>
    <row r="48" spans="1:3" x14ac:dyDescent="0.25">
      <c r="A48" s="152">
        <v>44037</v>
      </c>
      <c r="B48" s="153" t="s">
        <v>163</v>
      </c>
      <c r="C48" s="154">
        <v>29.725000000000001</v>
      </c>
    </row>
    <row r="49" spans="1:3" x14ac:dyDescent="0.25">
      <c r="A49" s="152">
        <v>44044</v>
      </c>
      <c r="B49" s="153" t="s">
        <v>163</v>
      </c>
      <c r="C49" s="154">
        <v>29.734999999999999</v>
      </c>
    </row>
    <row r="50" spans="1:3" x14ac:dyDescent="0.25">
      <c r="A50" s="152">
        <v>44051</v>
      </c>
      <c r="B50" s="153" t="s">
        <v>163</v>
      </c>
      <c r="C50" s="154">
        <v>31.245000000000001</v>
      </c>
    </row>
    <row r="51" spans="1:3" x14ac:dyDescent="0.25">
      <c r="A51" s="152">
        <v>44058</v>
      </c>
      <c r="B51" s="153" t="s">
        <v>163</v>
      </c>
      <c r="C51" s="154">
        <v>31.475000000000001</v>
      </c>
    </row>
    <row r="52" spans="1:3" x14ac:dyDescent="0.25">
      <c r="A52" s="152">
        <v>44065</v>
      </c>
      <c r="B52" s="153" t="s">
        <v>163</v>
      </c>
      <c r="C52" s="154">
        <v>31.875</v>
      </c>
    </row>
    <row r="53" spans="1:3" x14ac:dyDescent="0.25">
      <c r="A53" s="152">
        <v>44072</v>
      </c>
      <c r="B53" s="153" t="s">
        <v>163</v>
      </c>
      <c r="C53" s="154">
        <v>33.515000000000001</v>
      </c>
    </row>
    <row r="54" spans="1:3" x14ac:dyDescent="0.25">
      <c r="A54" s="152">
        <v>44079</v>
      </c>
      <c r="B54" s="153" t="s">
        <v>163</v>
      </c>
      <c r="C54" s="154">
        <v>34.375</v>
      </c>
    </row>
    <row r="55" spans="1:3" x14ac:dyDescent="0.25">
      <c r="A55" s="152">
        <v>44086</v>
      </c>
      <c r="B55" s="153" t="s">
        <v>163</v>
      </c>
      <c r="C55" s="154">
        <v>33.79</v>
      </c>
    </row>
    <row r="56" spans="1:3" x14ac:dyDescent="0.25">
      <c r="A56" s="152">
        <v>44093</v>
      </c>
      <c r="B56" s="153" t="s">
        <v>163</v>
      </c>
      <c r="C56" s="154">
        <v>35.18</v>
      </c>
    </row>
    <row r="57" spans="1:3" x14ac:dyDescent="0.25">
      <c r="A57" s="152">
        <v>44100</v>
      </c>
      <c r="B57" s="153" t="s">
        <v>163</v>
      </c>
      <c r="C57" s="154">
        <v>33.67</v>
      </c>
    </row>
    <row r="58" spans="1:3" x14ac:dyDescent="0.25">
      <c r="A58" s="152">
        <v>44107</v>
      </c>
      <c r="B58" s="153" t="s">
        <v>163</v>
      </c>
      <c r="C58" s="154">
        <v>33.24</v>
      </c>
    </row>
    <row r="59" spans="1:3" x14ac:dyDescent="0.25">
      <c r="A59" s="152">
        <v>44114</v>
      </c>
      <c r="B59" s="153" t="s">
        <v>163</v>
      </c>
      <c r="C59" s="154">
        <v>33.765000000000001</v>
      </c>
    </row>
    <row r="60" spans="1:3" x14ac:dyDescent="0.25">
      <c r="A60" s="152">
        <v>44121</v>
      </c>
      <c r="B60" s="153" t="s">
        <v>163</v>
      </c>
      <c r="C60" s="154">
        <v>34.04</v>
      </c>
    </row>
    <row r="61" spans="1:3" x14ac:dyDescent="0.25">
      <c r="A61" s="152">
        <v>44128</v>
      </c>
      <c r="B61" s="153" t="s">
        <v>163</v>
      </c>
      <c r="C61" s="154">
        <v>33.909999999999997</v>
      </c>
    </row>
    <row r="62" spans="1:3" x14ac:dyDescent="0.25">
      <c r="A62" s="152">
        <v>44135</v>
      </c>
      <c r="B62" s="153" t="s">
        <v>163</v>
      </c>
      <c r="C62" s="154">
        <v>34.619999999999997</v>
      </c>
    </row>
    <row r="63" spans="1:3" x14ac:dyDescent="0.25">
      <c r="A63" s="152">
        <v>44142</v>
      </c>
      <c r="B63" s="153" t="s">
        <v>163</v>
      </c>
      <c r="C63" s="154">
        <v>35.255000000000003</v>
      </c>
    </row>
    <row r="64" spans="1:3" x14ac:dyDescent="0.25">
      <c r="A64" s="152">
        <v>44149</v>
      </c>
      <c r="B64" s="153" t="s">
        <v>163</v>
      </c>
      <c r="C64" s="154">
        <v>37.369999999999997</v>
      </c>
    </row>
    <row r="65" spans="1:3" x14ac:dyDescent="0.25">
      <c r="A65" s="152">
        <v>44156</v>
      </c>
      <c r="B65" s="153" t="s">
        <v>163</v>
      </c>
      <c r="C65" s="154">
        <v>39.17</v>
      </c>
    </row>
    <row r="66" spans="1:3" x14ac:dyDescent="0.25">
      <c r="A66" s="152">
        <v>44163</v>
      </c>
      <c r="B66" s="153" t="s">
        <v>163</v>
      </c>
      <c r="C66" s="154">
        <v>39.68</v>
      </c>
    </row>
    <row r="67" spans="1:3" x14ac:dyDescent="0.25">
      <c r="A67" s="152">
        <v>44170</v>
      </c>
      <c r="B67" s="153" t="s">
        <v>163</v>
      </c>
      <c r="C67" s="154">
        <v>39.744999999999997</v>
      </c>
    </row>
    <row r="68" spans="1:3" x14ac:dyDescent="0.25">
      <c r="A68" s="152">
        <v>44177</v>
      </c>
      <c r="B68" s="153" t="s">
        <v>163</v>
      </c>
      <c r="C68" s="154">
        <v>51.74</v>
      </c>
    </row>
    <row r="69" spans="1:3" x14ac:dyDescent="0.25">
      <c r="A69" s="152">
        <v>44184</v>
      </c>
      <c r="B69" s="153" t="s">
        <v>163</v>
      </c>
      <c r="C69" s="154">
        <v>40.39</v>
      </c>
    </row>
    <row r="70" spans="1:3" x14ac:dyDescent="0.25">
      <c r="A70" s="152">
        <v>44191</v>
      </c>
      <c r="B70" s="153" t="s">
        <v>163</v>
      </c>
      <c r="C70" s="154">
        <v>41.62</v>
      </c>
    </row>
    <row r="71" spans="1:3" x14ac:dyDescent="0.25">
      <c r="A71" s="152">
        <v>44198</v>
      </c>
      <c r="B71" s="153" t="s">
        <v>163</v>
      </c>
      <c r="C71" s="154">
        <v>43.55</v>
      </c>
    </row>
    <row r="72" spans="1:3" x14ac:dyDescent="0.25">
      <c r="A72" s="152">
        <v>44205</v>
      </c>
      <c r="B72" s="153" t="s">
        <v>163</v>
      </c>
      <c r="C72" s="154">
        <v>44.65</v>
      </c>
    </row>
    <row r="73" spans="1:3" x14ac:dyDescent="0.25">
      <c r="A73" s="152">
        <v>44212</v>
      </c>
      <c r="B73" s="153" t="s">
        <v>163</v>
      </c>
      <c r="C73" s="154">
        <v>43.604999999999997</v>
      </c>
    </row>
    <row r="74" spans="1:3" x14ac:dyDescent="0.25">
      <c r="A74" s="152">
        <v>44219</v>
      </c>
      <c r="B74" s="153" t="s">
        <v>163</v>
      </c>
      <c r="C74" s="154">
        <v>43.795000000000002</v>
      </c>
    </row>
    <row r="75" spans="1:3" x14ac:dyDescent="0.25">
      <c r="A75" s="152">
        <v>44226</v>
      </c>
      <c r="B75" s="153" t="s">
        <v>163</v>
      </c>
      <c r="C75" s="154">
        <v>45.28</v>
      </c>
    </row>
    <row r="76" spans="1:3" x14ac:dyDescent="0.25">
      <c r="A76" s="152">
        <v>44233</v>
      </c>
      <c r="B76" s="153" t="s">
        <v>163</v>
      </c>
      <c r="C76" s="154">
        <v>45.87</v>
      </c>
    </row>
    <row r="77" spans="1:3" x14ac:dyDescent="0.25">
      <c r="A77" s="152">
        <v>44240</v>
      </c>
      <c r="B77" s="153" t="s">
        <v>163</v>
      </c>
      <c r="C77" s="154">
        <v>47.25</v>
      </c>
    </row>
    <row r="78" spans="1:3" x14ac:dyDescent="0.25">
      <c r="A78" s="152">
        <v>44247</v>
      </c>
      <c r="B78" s="153" t="s">
        <v>163</v>
      </c>
      <c r="C78" s="154">
        <v>48.81</v>
      </c>
    </row>
    <row r="79" spans="1:3" x14ac:dyDescent="0.25">
      <c r="A79" s="152">
        <v>44254</v>
      </c>
      <c r="B79" s="153" t="s">
        <v>163</v>
      </c>
      <c r="C79" s="154">
        <v>51.645000000000003</v>
      </c>
    </row>
    <row r="80" spans="1:3" x14ac:dyDescent="0.25">
      <c r="A80" s="152">
        <v>44261</v>
      </c>
      <c r="B80" s="153" t="s">
        <v>163</v>
      </c>
      <c r="C80" s="154">
        <v>52.77</v>
      </c>
    </row>
    <row r="81" spans="1:3" x14ac:dyDescent="0.25">
      <c r="A81" s="152">
        <v>44268</v>
      </c>
      <c r="B81" s="153" t="s">
        <v>163</v>
      </c>
      <c r="C81" s="154">
        <v>55.674999999999997</v>
      </c>
    </row>
    <row r="82" spans="1:3" x14ac:dyDescent="0.25">
      <c r="A82" s="152">
        <v>44275</v>
      </c>
      <c r="B82" s="153" t="s">
        <v>163</v>
      </c>
      <c r="C82" s="154">
        <v>58.965000000000003</v>
      </c>
    </row>
    <row r="83" spans="1:3" x14ac:dyDescent="0.25">
      <c r="A83" s="152">
        <v>44282</v>
      </c>
      <c r="B83" s="153" t="s">
        <v>163</v>
      </c>
      <c r="C83" s="154">
        <v>60.895000000000003</v>
      </c>
    </row>
    <row r="84" spans="1:3" x14ac:dyDescent="0.25">
      <c r="A84" s="152">
        <v>44289</v>
      </c>
      <c r="B84" s="153" t="s">
        <v>163</v>
      </c>
      <c r="C84" s="154">
        <v>54.96</v>
      </c>
    </row>
    <row r="85" spans="1:3" x14ac:dyDescent="0.25">
      <c r="A85" s="152">
        <v>44296</v>
      </c>
      <c r="B85" s="153" t="s">
        <v>163</v>
      </c>
      <c r="C85" s="154">
        <v>58.42</v>
      </c>
    </row>
    <row r="86" spans="1:3" x14ac:dyDescent="0.25">
      <c r="A86" s="152">
        <v>44303</v>
      </c>
      <c r="B86" s="153" t="s">
        <v>163</v>
      </c>
      <c r="C86" s="154">
        <v>58.43</v>
      </c>
    </row>
    <row r="87" spans="1:3" x14ac:dyDescent="0.25">
      <c r="A87" s="152">
        <v>44310</v>
      </c>
      <c r="B87" s="153" t="s">
        <v>163</v>
      </c>
      <c r="C87" s="154">
        <v>63.844999999999999</v>
      </c>
    </row>
    <row r="88" spans="1:3" x14ac:dyDescent="0.25">
      <c r="A88" s="152">
        <v>44317</v>
      </c>
      <c r="B88" s="153" t="s">
        <v>163</v>
      </c>
      <c r="C88" s="154">
        <v>70.814999999999998</v>
      </c>
    </row>
    <row r="89" spans="1:3" x14ac:dyDescent="0.25">
      <c r="A89" s="156">
        <v>44323</v>
      </c>
      <c r="B89" s="153" t="s">
        <v>163</v>
      </c>
      <c r="C89" s="154">
        <v>70.83</v>
      </c>
    </row>
  </sheetData>
  <pageMargins left="0.75" right="0.75" top="1" bottom="1" header="0.5" footer="0.5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7B39-9066-4067-BA43-F0891B019C4C}">
  <dimension ref="A1:G13"/>
  <sheetViews>
    <sheetView zoomScaleNormal="100" workbookViewId="0">
      <selection activeCell="H34" sqref="H34"/>
    </sheetView>
  </sheetViews>
  <sheetFormatPr defaultRowHeight="14.4" x14ac:dyDescent="0.3"/>
  <cols>
    <col min="1" max="1" width="13.44140625" style="157" bestFit="1" customWidth="1"/>
    <col min="2" max="2" width="27" style="157" bestFit="1" customWidth="1"/>
    <col min="3" max="3" width="22.5546875" style="157" bestFit="1" customWidth="1"/>
    <col min="4" max="4" width="22.44140625" style="157" bestFit="1" customWidth="1"/>
    <col min="5" max="5" width="20.109375" style="157" bestFit="1" customWidth="1"/>
    <col min="6" max="6" width="25.88671875" style="157" bestFit="1" customWidth="1"/>
    <col min="7" max="7" width="29.33203125" style="157" bestFit="1" customWidth="1"/>
    <col min="8" max="16384" width="8.88671875" style="157"/>
  </cols>
  <sheetData>
    <row r="1" spans="1:7" x14ac:dyDescent="0.3">
      <c r="A1" s="157" t="s">
        <v>167</v>
      </c>
      <c r="B1" s="173" t="s">
        <v>172</v>
      </c>
      <c r="C1" s="173" t="s">
        <v>173</v>
      </c>
      <c r="D1" s="173" t="s">
        <v>174</v>
      </c>
      <c r="E1" s="173" t="s">
        <v>175</v>
      </c>
      <c r="F1" s="173" t="s">
        <v>176</v>
      </c>
      <c r="G1" s="173" t="s">
        <v>177</v>
      </c>
    </row>
    <row r="2" spans="1:7" x14ac:dyDescent="0.3">
      <c r="A2" s="160">
        <v>2011</v>
      </c>
      <c r="B2" s="159">
        <v>264733</v>
      </c>
      <c r="C2" s="159">
        <v>222192</v>
      </c>
      <c r="D2" s="159">
        <v>49000</v>
      </c>
      <c r="E2" s="159">
        <v>75300</v>
      </c>
      <c r="F2" s="159">
        <v>90663</v>
      </c>
      <c r="G2" s="158">
        <v>49770</v>
      </c>
    </row>
    <row r="3" spans="1:7" x14ac:dyDescent="0.3">
      <c r="A3" s="160">
        <v>2012</v>
      </c>
      <c r="B3" s="159">
        <v>240832</v>
      </c>
      <c r="C3" s="159">
        <v>229194</v>
      </c>
      <c r="D3" s="159">
        <v>40100</v>
      </c>
      <c r="E3" s="159">
        <v>66500</v>
      </c>
      <c r="F3" s="159">
        <v>84291</v>
      </c>
      <c r="G3" s="158">
        <v>49941</v>
      </c>
    </row>
    <row r="4" spans="1:7" x14ac:dyDescent="0.3">
      <c r="A4" s="160">
        <v>2013</v>
      </c>
      <c r="B4" s="159">
        <v>268957</v>
      </c>
      <c r="C4" s="159">
        <v>231873</v>
      </c>
      <c r="D4" s="159">
        <v>49300</v>
      </c>
      <c r="E4" s="159">
        <v>82000</v>
      </c>
      <c r="F4" s="159">
        <v>82791</v>
      </c>
      <c r="G4" s="158">
        <v>54866</v>
      </c>
    </row>
    <row r="5" spans="1:7" x14ac:dyDescent="0.3">
      <c r="A5" s="160">
        <v>2014</v>
      </c>
      <c r="B5" s="159">
        <v>282699</v>
      </c>
      <c r="C5" s="159">
        <v>242957</v>
      </c>
      <c r="D5" s="159">
        <v>53400</v>
      </c>
      <c r="E5" s="159">
        <v>86200</v>
      </c>
      <c r="F5" s="159">
        <v>91363</v>
      </c>
      <c r="G5" s="158">
        <v>51736</v>
      </c>
    </row>
    <row r="6" spans="1:7" x14ac:dyDescent="0.3">
      <c r="A6" s="160">
        <v>2015</v>
      </c>
      <c r="B6" s="159">
        <v>321191</v>
      </c>
      <c r="C6" s="159">
        <v>264954</v>
      </c>
      <c r="D6" s="159">
        <v>61450</v>
      </c>
      <c r="E6" s="159">
        <v>97100</v>
      </c>
      <c r="F6" s="159">
        <v>106905</v>
      </c>
      <c r="G6" s="158">
        <v>55736</v>
      </c>
    </row>
    <row r="7" spans="1:7" x14ac:dyDescent="0.3">
      <c r="A7" s="160">
        <v>2016</v>
      </c>
      <c r="B7" s="159">
        <v>315419</v>
      </c>
      <c r="C7" s="159">
        <v>275659</v>
      </c>
      <c r="D7" s="159">
        <v>58800</v>
      </c>
      <c r="E7" s="159">
        <v>95700</v>
      </c>
      <c r="F7" s="159">
        <v>106869</v>
      </c>
      <c r="G7" s="158">
        <v>54050</v>
      </c>
    </row>
    <row r="8" spans="1:7" x14ac:dyDescent="0.3">
      <c r="A8" s="160">
        <v>2017</v>
      </c>
      <c r="B8" s="159">
        <v>350181</v>
      </c>
      <c r="C8" s="159">
        <v>287666</v>
      </c>
      <c r="D8" s="159">
        <v>55000</v>
      </c>
      <c r="E8" s="159">
        <v>114900</v>
      </c>
      <c r="F8" s="159">
        <v>116931</v>
      </c>
      <c r="G8" s="158">
        <v>63350</v>
      </c>
    </row>
    <row r="9" spans="1:7" x14ac:dyDescent="0.3">
      <c r="A9" s="160">
        <v>2018</v>
      </c>
      <c r="B9" s="159">
        <v>344182</v>
      </c>
      <c r="C9" s="159">
        <v>294992</v>
      </c>
      <c r="D9" s="159">
        <v>37800</v>
      </c>
      <c r="E9" s="159">
        <v>123400</v>
      </c>
      <c r="F9" s="159">
        <v>120065</v>
      </c>
      <c r="G9" s="158">
        <v>62917</v>
      </c>
    </row>
    <row r="10" spans="1:7" x14ac:dyDescent="0.3">
      <c r="A10" s="160">
        <v>2019</v>
      </c>
      <c r="B10" s="159">
        <v>361278</v>
      </c>
      <c r="C10" s="159">
        <v>298671</v>
      </c>
      <c r="D10" s="159">
        <v>55300</v>
      </c>
      <c r="E10" s="159">
        <v>119700</v>
      </c>
      <c r="F10" s="159">
        <v>120515</v>
      </c>
      <c r="G10" s="158">
        <v>65763</v>
      </c>
    </row>
    <row r="11" spans="1:7" x14ac:dyDescent="0.3">
      <c r="A11" s="160">
        <v>2020</v>
      </c>
      <c r="B11" s="159">
        <v>339419</v>
      </c>
      <c r="C11" s="159">
        <v>311496</v>
      </c>
      <c r="D11" s="159">
        <v>48800</v>
      </c>
      <c r="E11" s="159">
        <v>128500</v>
      </c>
      <c r="F11" s="159">
        <v>96667</v>
      </c>
      <c r="G11" s="158">
        <v>65452</v>
      </c>
    </row>
    <row r="12" spans="1:7" x14ac:dyDescent="0.3">
      <c r="A12" s="160">
        <v>2021</v>
      </c>
      <c r="B12" s="159">
        <v>362947</v>
      </c>
      <c r="C12" s="159">
        <v>322402</v>
      </c>
      <c r="D12" s="159">
        <v>47000</v>
      </c>
      <c r="E12" s="159">
        <v>136000</v>
      </c>
      <c r="F12" s="159">
        <v>112549</v>
      </c>
      <c r="G12" s="158">
        <v>67398</v>
      </c>
    </row>
    <row r="13" spans="1:7" x14ac:dyDescent="0.3">
      <c r="A13" s="160">
        <v>2022</v>
      </c>
      <c r="B13" s="159">
        <v>385525</v>
      </c>
      <c r="C13" s="159">
        <v>331694</v>
      </c>
      <c r="D13" s="159">
        <v>52000</v>
      </c>
      <c r="E13" s="159">
        <v>144000</v>
      </c>
      <c r="F13" s="159">
        <v>119884</v>
      </c>
      <c r="G13" s="158">
        <v>69641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1"/>
  <sheetViews>
    <sheetView showGridLines="0" zoomScale="90" zoomScaleNormal="90" workbookViewId="0">
      <selection activeCell="G8" sqref="G8"/>
    </sheetView>
  </sheetViews>
  <sheetFormatPr defaultRowHeight="13.2" x14ac:dyDescent="0.25"/>
  <cols>
    <col min="1" max="1" width="21.77734375" customWidth="1"/>
    <col min="2" max="2" width="11.5546875" customWidth="1"/>
    <col min="3" max="3" width="9.5546875" customWidth="1"/>
    <col min="4" max="4" width="26.77734375" customWidth="1"/>
    <col min="5" max="5" width="9.77734375" customWidth="1"/>
    <col min="6" max="6" width="10.77734375" customWidth="1"/>
    <col min="7" max="7" width="7.77734375" customWidth="1"/>
    <col min="8" max="8" width="9.77734375" customWidth="1"/>
    <col min="9" max="9" width="1.77734375" customWidth="1"/>
    <col min="10" max="10" width="9.77734375" customWidth="1"/>
    <col min="11" max="12" width="10.77734375" customWidth="1"/>
    <col min="13" max="13" width="10.33203125" customWidth="1"/>
    <col min="14" max="14" width="9.77734375" customWidth="1"/>
  </cols>
  <sheetData>
    <row r="1" spans="1:14" ht="13.8" x14ac:dyDescent="0.25">
      <c r="A1" s="33" t="s">
        <v>152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3.8" x14ac:dyDescent="0.25">
      <c r="A2" s="34"/>
      <c r="B2" s="124" t="s">
        <v>19</v>
      </c>
      <c r="C2" s="121"/>
      <c r="D2" s="36" t="s">
        <v>22</v>
      </c>
      <c r="E2" s="123"/>
      <c r="F2" s="121" t="s">
        <v>70</v>
      </c>
      <c r="G2" s="121"/>
      <c r="H2" s="121"/>
      <c r="I2" s="37"/>
      <c r="J2" s="123"/>
      <c r="K2" s="121"/>
      <c r="L2" s="125" t="s">
        <v>57</v>
      </c>
      <c r="M2" s="121"/>
      <c r="N2" s="34"/>
    </row>
    <row r="3" spans="1:14" ht="13.8" x14ac:dyDescent="0.25">
      <c r="A3" s="34" t="s">
        <v>64</v>
      </c>
      <c r="B3" s="36" t="s">
        <v>20</v>
      </c>
      <c r="C3" s="34" t="s">
        <v>21</v>
      </c>
      <c r="D3" s="36"/>
      <c r="E3" s="38" t="s">
        <v>8</v>
      </c>
      <c r="F3" s="38"/>
      <c r="G3" s="38"/>
      <c r="H3" s="38"/>
      <c r="I3" s="38"/>
      <c r="J3" s="36" t="s">
        <v>59</v>
      </c>
      <c r="K3" s="38" t="s">
        <v>77</v>
      </c>
      <c r="L3" s="38"/>
      <c r="M3" s="38"/>
      <c r="N3" s="38" t="s">
        <v>6</v>
      </c>
    </row>
    <row r="4" spans="1:14" ht="13.8" x14ac:dyDescent="0.25">
      <c r="A4" s="39" t="s">
        <v>67</v>
      </c>
      <c r="B4" s="40"/>
      <c r="C4" s="40"/>
      <c r="D4" s="40"/>
      <c r="E4" s="41" t="s">
        <v>7</v>
      </c>
      <c r="F4" s="41" t="s">
        <v>1</v>
      </c>
      <c r="G4" s="42" t="s">
        <v>2</v>
      </c>
      <c r="H4" s="43" t="s">
        <v>3</v>
      </c>
      <c r="I4" s="42"/>
      <c r="J4" s="42"/>
      <c r="K4" s="42" t="s">
        <v>5</v>
      </c>
      <c r="L4" s="43" t="s">
        <v>4</v>
      </c>
      <c r="M4" s="41" t="s">
        <v>3</v>
      </c>
      <c r="N4" s="42" t="s">
        <v>7</v>
      </c>
    </row>
    <row r="5" spans="1:14" ht="14.4" x14ac:dyDescent="0.3">
      <c r="A5" s="34"/>
      <c r="B5" s="119" t="s">
        <v>71</v>
      </c>
      <c r="C5" s="120"/>
      <c r="D5" s="44" t="s">
        <v>134</v>
      </c>
      <c r="G5" s="119"/>
      <c r="I5" s="119"/>
      <c r="J5" s="122" t="s">
        <v>120</v>
      </c>
      <c r="K5" s="119"/>
      <c r="L5" s="119"/>
      <c r="M5" s="119"/>
      <c r="N5" s="119"/>
    </row>
    <row r="6" spans="1:14" ht="16.5" customHeight="1" x14ac:dyDescent="0.25">
      <c r="A6" s="34" t="s">
        <v>121</v>
      </c>
      <c r="B6" s="45">
        <v>76.099999999999994</v>
      </c>
      <c r="C6" s="45">
        <v>74.938999999999993</v>
      </c>
      <c r="D6" s="45">
        <v>47.397323156167019</v>
      </c>
      <c r="E6" s="46">
        <v>524.54100000000005</v>
      </c>
      <c r="F6" s="47">
        <v>3551.9079999999999</v>
      </c>
      <c r="G6" s="48">
        <v>15.399722739414511</v>
      </c>
      <c r="H6" s="48">
        <v>4091.8487227394144</v>
      </c>
      <c r="I6" s="34"/>
      <c r="J6" s="47">
        <v>2164.5542333333333</v>
      </c>
      <c r="K6" s="47">
        <v>-279.26928307507342</v>
      </c>
      <c r="L6" s="48">
        <v>1682.0227724811543</v>
      </c>
      <c r="M6" s="48">
        <v>3567.3077227394142</v>
      </c>
      <c r="N6" s="48">
        <v>524.54100000000005</v>
      </c>
    </row>
    <row r="7" spans="1:14" ht="16.5" customHeight="1" x14ac:dyDescent="0.25">
      <c r="A7" s="34" t="s">
        <v>124</v>
      </c>
      <c r="B7" s="45">
        <v>83.084000000000003</v>
      </c>
      <c r="C7" s="45">
        <v>82.317999999999998</v>
      </c>
      <c r="D7" s="45">
        <f>F7/C7</f>
        <v>49.707824810362432</v>
      </c>
      <c r="E7" s="46">
        <f>N6</f>
        <v>524.54100000000005</v>
      </c>
      <c r="F7" s="47">
        <f>H6</f>
        <v>4091.8487227394144</v>
      </c>
      <c r="G7" s="48">
        <v>35</v>
      </c>
      <c r="H7" s="48">
        <f>SUM(E7:G7)</f>
        <v>4651.3897227394145</v>
      </c>
      <c r="I7" s="34"/>
      <c r="J7" s="47">
        <v>2190</v>
      </c>
      <c r="K7" s="47">
        <f>M7-L7-J7</f>
        <v>61.389722739414538</v>
      </c>
      <c r="L7" s="48">
        <v>2280</v>
      </c>
      <c r="M7" s="48">
        <f>H7-N7</f>
        <v>4531.3897227394145</v>
      </c>
      <c r="N7" s="48">
        <v>120</v>
      </c>
    </row>
    <row r="8" spans="1:14" ht="16.5" customHeight="1" x14ac:dyDescent="0.25">
      <c r="A8" s="34" t="s">
        <v>165</v>
      </c>
      <c r="B8" s="45">
        <v>87.6</v>
      </c>
      <c r="C8" s="45">
        <v>86.7</v>
      </c>
      <c r="D8" s="45">
        <v>50.8</v>
      </c>
      <c r="E8" s="46">
        <v>120</v>
      </c>
      <c r="F8" s="47">
        <v>4405</v>
      </c>
      <c r="G8" s="48">
        <v>35</v>
      </c>
      <c r="H8" s="48">
        <f>SUM(E8:G8)</f>
        <v>4560</v>
      </c>
      <c r="I8" s="34"/>
      <c r="J8" s="47">
        <v>2225</v>
      </c>
      <c r="K8" s="47">
        <f>M8-L8-J8</f>
        <v>120</v>
      </c>
      <c r="L8" s="48">
        <v>2075</v>
      </c>
      <c r="M8" s="48">
        <f>H8-N8</f>
        <v>4420</v>
      </c>
      <c r="N8" s="48">
        <v>140</v>
      </c>
    </row>
    <row r="9" spans="1:14" ht="16.5" customHeight="1" x14ac:dyDescent="0.25">
      <c r="A9" s="37"/>
      <c r="B9" s="37"/>
      <c r="C9" s="37"/>
      <c r="D9" s="37"/>
      <c r="E9" s="50"/>
      <c r="F9" s="50"/>
      <c r="G9" s="51"/>
      <c r="H9" s="50"/>
      <c r="I9" s="50"/>
      <c r="J9" s="51"/>
      <c r="K9" s="51"/>
      <c r="L9" s="51"/>
      <c r="M9" s="51"/>
      <c r="N9" s="51"/>
    </row>
    <row r="10" spans="1:14" ht="16.5" customHeight="1" x14ac:dyDescent="0.25">
      <c r="A10" s="37" t="s">
        <v>135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74"/>
    </row>
    <row r="11" spans="1:14" ht="16.5" customHeight="1" x14ac:dyDescent="0.25">
      <c r="A11" s="170" t="s">
        <v>121</v>
      </c>
      <c r="B11" s="118"/>
      <c r="C11" s="118"/>
      <c r="D11" s="118"/>
      <c r="E11" s="118"/>
      <c r="F11" s="118"/>
      <c r="G11" s="55"/>
      <c r="H11" s="56"/>
      <c r="I11" s="126"/>
      <c r="J11" s="56"/>
      <c r="K11" s="56"/>
      <c r="L11" s="55"/>
      <c r="M11" s="55"/>
      <c r="N11" s="118"/>
    </row>
    <row r="12" spans="1:14" ht="16.5" customHeight="1" x14ac:dyDescent="0.25">
      <c r="A12" s="37" t="s">
        <v>80</v>
      </c>
      <c r="B12" s="118"/>
      <c r="C12" s="118"/>
      <c r="D12" s="118"/>
      <c r="G12" s="55">
        <f>(0.61606+25.572761+5.722113)*2.204622/60</f>
        <v>1.1725257856158</v>
      </c>
      <c r="I12" s="118"/>
      <c r="J12" s="56">
        <f>4.870034*2000/60</f>
        <v>162.33446666666669</v>
      </c>
      <c r="K12" s="57"/>
      <c r="L12" s="55">
        <f>(34.198907+3866.166)*2.204622/60</f>
        <v>143.31383803333591</v>
      </c>
      <c r="M12" s="55"/>
      <c r="N12" s="56"/>
    </row>
    <row r="13" spans="1:14" ht="16.5" customHeight="1" x14ac:dyDescent="0.25">
      <c r="A13" s="37" t="s">
        <v>82</v>
      </c>
      <c r="B13" s="118"/>
      <c r="C13" s="118"/>
      <c r="D13" s="118"/>
      <c r="E13" s="52"/>
      <c r="F13" s="54"/>
      <c r="G13" s="55">
        <f>(1.045181+37.412542+15.259817)*2.204622/60</f>
        <v>1.9737811744980001</v>
      </c>
      <c r="H13" s="56"/>
      <c r="I13" s="118"/>
      <c r="J13" s="56">
        <f>5.615616*2000/60</f>
        <v>187.18719999999999</v>
      </c>
      <c r="K13" s="57"/>
      <c r="L13" s="55">
        <f>(31.439182+5862.128)*2.204622/60</f>
        <v>216.55146446525342</v>
      </c>
      <c r="M13" s="55"/>
      <c r="N13" s="56"/>
    </row>
    <row r="14" spans="1:14" ht="16.5" customHeight="1" x14ac:dyDescent="0.25">
      <c r="A14" s="37" t="s">
        <v>84</v>
      </c>
      <c r="B14" s="118"/>
      <c r="C14" s="118"/>
      <c r="D14" s="118"/>
      <c r="E14" s="52"/>
      <c r="F14" s="54"/>
      <c r="G14" s="55">
        <f>(0.996565+5.711141+5.30294)*2.204622/60</f>
        <v>0.44131557343020006</v>
      </c>
      <c r="H14" s="56"/>
      <c r="I14" s="118"/>
      <c r="J14" s="56">
        <f>5.239452*2000/60</f>
        <v>174.64840000000001</v>
      </c>
      <c r="K14" s="57"/>
      <c r="L14" s="55">
        <f>(18.866325+6806.837)*2.204622/60</f>
        <v>250.80159526280252</v>
      </c>
      <c r="M14" s="55"/>
      <c r="N14" s="56"/>
    </row>
    <row r="15" spans="1:14" ht="16.5" customHeight="1" x14ac:dyDescent="0.25">
      <c r="A15" s="37" t="s">
        <v>61</v>
      </c>
      <c r="B15" s="118"/>
      <c r="C15" s="118"/>
      <c r="D15" s="118"/>
      <c r="E15" s="52">
        <v>909.05200000000002</v>
      </c>
      <c r="F15" s="54">
        <f>3551.908</f>
        <v>3551.9079999999999</v>
      </c>
      <c r="G15" s="55">
        <f>SUM(G12:G14)</f>
        <v>3.5876225335440002</v>
      </c>
      <c r="H15" s="56">
        <f>E15+F15+G15</f>
        <v>4464.5476225335442</v>
      </c>
      <c r="I15" s="118"/>
      <c r="J15" s="56">
        <f>SUM(J12:J14)</f>
        <v>524.17006666666668</v>
      </c>
      <c r="K15" s="57">
        <f>M15-L15-J15</f>
        <v>77.222658105485834</v>
      </c>
      <c r="L15" s="55">
        <f>SUM(L12:L14)</f>
        <v>610.66689776139185</v>
      </c>
      <c r="M15" s="55">
        <f>H15-N15</f>
        <v>1212.0596225335444</v>
      </c>
      <c r="N15" s="56">
        <v>3252.4879999999998</v>
      </c>
    </row>
    <row r="16" spans="1:14" ht="16.5" customHeight="1" x14ac:dyDescent="0.25">
      <c r="A16" s="34" t="s">
        <v>85</v>
      </c>
      <c r="B16" s="118"/>
      <c r="C16" s="118"/>
      <c r="D16" s="118"/>
      <c r="E16" s="52"/>
      <c r="F16" s="55"/>
      <c r="G16" s="55">
        <f>(2.394047+31.047659+4.372992)*2.204622/60</f>
        <v>1.3894519189025998</v>
      </c>
      <c r="H16" s="56"/>
      <c r="I16" s="118"/>
      <c r="J16" s="56">
        <f>5.542274*2000/60</f>
        <v>184.74246666666667</v>
      </c>
      <c r="K16" s="57"/>
      <c r="L16" s="55">
        <f>(18.302084+5638.722)*2.204622/60</f>
        <v>207.85999583527078</v>
      </c>
      <c r="M16" s="55"/>
      <c r="N16" s="56"/>
    </row>
    <row r="17" spans="1:14" ht="16.5" customHeight="1" x14ac:dyDescent="0.25">
      <c r="A17" s="34" t="s">
        <v>86</v>
      </c>
      <c r="B17" s="118"/>
      <c r="C17" s="118"/>
      <c r="D17" s="118"/>
      <c r="E17" s="52"/>
      <c r="F17" s="54"/>
      <c r="G17" s="55">
        <f>(8.096021+19.453759+3.525378)*2.204622/60</f>
        <v>1.1418162830046001</v>
      </c>
      <c r="H17" s="56"/>
      <c r="I17" s="118"/>
      <c r="J17" s="56">
        <f>5.663403*2000/60</f>
        <v>188.78009999999998</v>
      </c>
      <c r="K17" s="57"/>
      <c r="L17" s="55">
        <f>(22.638687+5296.569)*2.204622/60</f>
        <v>195.44737148882191</v>
      </c>
      <c r="M17" s="55"/>
      <c r="N17" s="56"/>
    </row>
    <row r="18" spans="1:14" ht="16.5" customHeight="1" x14ac:dyDescent="0.25">
      <c r="A18" s="34" t="s">
        <v>87</v>
      </c>
      <c r="B18" s="118"/>
      <c r="C18" s="118"/>
      <c r="D18" s="118"/>
      <c r="E18" s="52"/>
      <c r="F18" s="54"/>
      <c r="G18" s="55">
        <f>(1.166549+36.489844+3.682102)*2.204622/60</f>
        <v>1.5189292587315002</v>
      </c>
      <c r="H18" s="56"/>
      <c r="I18" s="118"/>
      <c r="J18" s="56">
        <f>5.258777*2000/60</f>
        <v>175.29256666666666</v>
      </c>
      <c r="K18" s="57"/>
      <c r="L18" s="55">
        <f>(14.336042+2744.522)*2.204622/60</f>
        <v>101.3706522378354</v>
      </c>
      <c r="M18" s="118"/>
      <c r="N18" s="118"/>
    </row>
    <row r="19" spans="1:14" ht="16.5" customHeight="1" x14ac:dyDescent="0.25">
      <c r="A19" s="34" t="s">
        <v>62</v>
      </c>
      <c r="B19" s="118"/>
      <c r="C19" s="118"/>
      <c r="D19" s="118"/>
      <c r="E19" s="52">
        <f>N15</f>
        <v>3252.4879999999998</v>
      </c>
      <c r="F19" s="54"/>
      <c r="G19" s="55">
        <f>SUM(G16:G18)</f>
        <v>4.0501974606387003</v>
      </c>
      <c r="H19" s="56">
        <f>E19+F19+G19</f>
        <v>3256.5381974606385</v>
      </c>
      <c r="I19" s="118"/>
      <c r="J19" s="56">
        <f>SUM(J16:J18)</f>
        <v>548.81513333333328</v>
      </c>
      <c r="K19" s="57">
        <f>M19-L19-J19</f>
        <v>-51.836955434622951</v>
      </c>
      <c r="L19" s="55">
        <f>SUM(L16:L18)</f>
        <v>504.67801956192807</v>
      </c>
      <c r="M19" s="55">
        <f>H19-N19</f>
        <v>1001.6561974606384</v>
      </c>
      <c r="N19" s="56">
        <v>2254.8820000000001</v>
      </c>
    </row>
    <row r="20" spans="1:14" ht="16.5" customHeight="1" x14ac:dyDescent="0.25">
      <c r="A20" s="34" t="s">
        <v>88</v>
      </c>
      <c r="B20" s="118"/>
      <c r="C20" s="118"/>
      <c r="D20" s="118"/>
      <c r="E20" s="52"/>
      <c r="F20" s="54"/>
      <c r="G20" s="55">
        <f>(13.511735+22.972721+5.958844)*2.204622/60</f>
        <v>1.5595238822100002</v>
      </c>
      <c r="H20" s="56"/>
      <c r="I20" s="118"/>
      <c r="J20" s="56">
        <f>5.764867*2000/60</f>
        <v>192.16223333333335</v>
      </c>
      <c r="K20" s="57"/>
      <c r="L20" s="55">
        <f>(18.610925+2552.241)*2.204622/60</f>
        <v>94.462611876622503</v>
      </c>
      <c r="M20" s="55"/>
      <c r="N20" s="56"/>
    </row>
    <row r="21" spans="1:14" ht="16.5" customHeight="1" x14ac:dyDescent="0.25">
      <c r="A21" s="34" t="s">
        <v>89</v>
      </c>
      <c r="B21" s="118"/>
      <c r="C21" s="118"/>
      <c r="D21" s="118"/>
      <c r="E21" s="52"/>
      <c r="F21" s="54"/>
      <c r="G21" s="55">
        <f>(5.570598+10.245373+9.643559)*2.204622/60</f>
        <v>0.93547733246100007</v>
      </c>
      <c r="H21" s="56"/>
      <c r="I21" s="118"/>
      <c r="J21" s="56">
        <f>5.501825*2000/60</f>
        <v>183.39416666666665</v>
      </c>
      <c r="K21" s="57"/>
      <c r="L21" s="55">
        <f>(20.838345+2142.276)*2.204622/60</f>
        <v>79.480824558376497</v>
      </c>
      <c r="M21" s="55"/>
      <c r="N21" s="56"/>
    </row>
    <row r="22" spans="1:14" ht="16.5" customHeight="1" x14ac:dyDescent="0.25">
      <c r="A22" s="34" t="s">
        <v>90</v>
      </c>
      <c r="B22" s="118"/>
      <c r="C22" s="118"/>
      <c r="D22" s="118"/>
      <c r="E22" s="52"/>
      <c r="F22" s="54"/>
      <c r="G22" s="55">
        <f>(2.133054+19.16263+9.57398)*2.204622/60</f>
        <v>1.1342656731168002</v>
      </c>
      <c r="H22" s="56"/>
      <c r="I22" s="118"/>
      <c r="J22" s="56">
        <f>5.386534*2000/60</f>
        <v>179.55113333333335</v>
      </c>
      <c r="K22" s="57"/>
      <c r="L22" s="55">
        <f>(21.557089+1943.847)*2.204622/60</f>
        <v>72.216218224989291</v>
      </c>
      <c r="M22" s="55"/>
      <c r="N22" s="56"/>
    </row>
    <row r="23" spans="1:14" ht="16.5" customHeight="1" x14ac:dyDescent="0.25">
      <c r="A23" s="34" t="s">
        <v>63</v>
      </c>
      <c r="B23" s="37"/>
      <c r="C23" s="37"/>
      <c r="D23" s="37"/>
      <c r="E23" s="52">
        <f>N19</f>
        <v>2254.8820000000001</v>
      </c>
      <c r="F23" s="58"/>
      <c r="G23" s="55">
        <f>SUM(G20:G22)</f>
        <v>3.6292668877878005</v>
      </c>
      <c r="H23" s="56">
        <f>E23+F23+G23</f>
        <v>2258.5112668877878</v>
      </c>
      <c r="I23" s="56"/>
      <c r="J23" s="56">
        <f>SUM(J20:J22)</f>
        <v>555.10753333333332</v>
      </c>
      <c r="K23" s="59">
        <f>M23-L23-J23</f>
        <v>75.850078894466151</v>
      </c>
      <c r="L23" s="55">
        <f>SUM(L20:L22)</f>
        <v>246.15965465998829</v>
      </c>
      <c r="M23" s="55">
        <f>H23-N23</f>
        <v>877.11726688778776</v>
      </c>
      <c r="N23" s="56">
        <v>1381.394</v>
      </c>
    </row>
    <row r="24" spans="1:14" ht="16.5" customHeight="1" x14ac:dyDescent="0.25">
      <c r="A24" s="34" t="s">
        <v>127</v>
      </c>
      <c r="B24" s="37"/>
      <c r="C24" s="37"/>
      <c r="D24" s="37"/>
      <c r="E24" s="52"/>
      <c r="F24" s="58"/>
      <c r="G24" s="55">
        <f>(2.390293+33.764567+8.787479)*2.204622/60</f>
        <v>1.6513478215142998</v>
      </c>
      <c r="H24" s="56"/>
      <c r="I24" s="56"/>
      <c r="J24" s="56">
        <f>5.318419*2000/60</f>
        <v>177.28063333333333</v>
      </c>
      <c r="K24" s="59"/>
      <c r="L24" s="55">
        <f>(21.146851+1778.049)*2.204622/60</f>
        <v>66.109112590388705</v>
      </c>
      <c r="M24" s="55"/>
      <c r="N24" s="56"/>
    </row>
    <row r="25" spans="1:14" ht="16.5" customHeight="1" x14ac:dyDescent="0.25">
      <c r="A25" s="34" t="s">
        <v>128</v>
      </c>
      <c r="B25" s="37"/>
      <c r="C25" s="37"/>
      <c r="D25" s="37"/>
      <c r="E25" s="52"/>
      <c r="F25" s="58"/>
      <c r="G25" s="55">
        <f>(2.3824143+38.020274+7.574612)*2.204622/60</f>
        <v>1.7628635290331103</v>
      </c>
      <c r="H25" s="56"/>
      <c r="I25" s="56"/>
      <c r="J25" s="56">
        <f>5.535196*2000/60</f>
        <v>184.50653333333332</v>
      </c>
      <c r="K25" s="59"/>
      <c r="L25" s="55">
        <f>(24.132099+2192.059)*2.204622/60</f>
        <v>81.431060884326314</v>
      </c>
      <c r="M25" s="55"/>
      <c r="N25" s="56"/>
    </row>
    <row r="26" spans="1:14" ht="16.5" customHeight="1" x14ac:dyDescent="0.25">
      <c r="A26" s="34" t="s">
        <v>129</v>
      </c>
      <c r="B26" s="37"/>
      <c r="C26" s="37"/>
      <c r="D26" s="37"/>
      <c r="E26" s="52"/>
      <c r="F26" s="58"/>
      <c r="G26" s="55">
        <f>(0.701049+12.986497+5.864772)*2.204622/60</f>
        <v>0.71842450689659998</v>
      </c>
      <c r="H26" s="56"/>
      <c r="I26" s="56"/>
      <c r="J26" s="56">
        <f>5.24023*2000/60</f>
        <v>174.67433333333335</v>
      </c>
      <c r="K26" s="59"/>
      <c r="L26" s="55">
        <f>(30.796122+4676.896)*2.204622/60</f>
        <v>172.97802702313138</v>
      </c>
      <c r="M26" s="55"/>
      <c r="N26" s="56"/>
    </row>
    <row r="27" spans="1:14" ht="16.5" customHeight="1" x14ac:dyDescent="0.25">
      <c r="A27" s="34" t="s">
        <v>132</v>
      </c>
      <c r="B27" s="37"/>
      <c r="C27" s="37"/>
      <c r="D27" s="37"/>
      <c r="E27" s="52">
        <f>N23</f>
        <v>1381.394</v>
      </c>
      <c r="F27" s="58"/>
      <c r="G27" s="55">
        <f>SUM(G24:G26)</f>
        <v>4.1326358574440096</v>
      </c>
      <c r="H27" s="56">
        <f>E27+F27+G27</f>
        <v>1385.526635857444</v>
      </c>
      <c r="I27" s="56"/>
      <c r="J27" s="56">
        <f>SUM(J24:J26)</f>
        <v>536.4615</v>
      </c>
      <c r="K27" s="59">
        <f>M27-L27-J27</f>
        <v>4.005935359597629</v>
      </c>
      <c r="L27" s="55">
        <f>SUM(L24:L26)</f>
        <v>320.51820049784635</v>
      </c>
      <c r="M27" s="55">
        <f>H27-N27</f>
        <v>860.98563585744398</v>
      </c>
      <c r="N27" s="56">
        <v>524.54100000000005</v>
      </c>
    </row>
    <row r="28" spans="1:14" ht="16.5" customHeight="1" x14ac:dyDescent="0.25">
      <c r="A28" s="34" t="s">
        <v>3</v>
      </c>
      <c r="B28" s="118"/>
      <c r="C28" s="118"/>
      <c r="D28" s="118"/>
      <c r="E28" s="52"/>
      <c r="F28" s="54">
        <f>F15</f>
        <v>3551.9079999999999</v>
      </c>
      <c r="G28" s="55">
        <f>G15+G19+G23+G27</f>
        <v>15.399722739414511</v>
      </c>
      <c r="H28" s="56">
        <f>E15+F28+G28</f>
        <v>4476.3597227394148</v>
      </c>
      <c r="I28" s="118"/>
      <c r="J28" s="56">
        <f>J15+J19+J23+J27</f>
        <v>2164.5542333333333</v>
      </c>
      <c r="K28" s="59">
        <f>K15+K19+K23+K27</f>
        <v>105.24171692492666</v>
      </c>
      <c r="L28" s="55">
        <f>L15+L19+L23+L27</f>
        <v>1682.0227724811543</v>
      </c>
      <c r="M28" s="55">
        <f>M15+M19+M23+M27</f>
        <v>3951.8187227394142</v>
      </c>
      <c r="N28" s="56"/>
    </row>
    <row r="29" spans="1:14" ht="16.5" customHeight="1" x14ac:dyDescent="0.25">
      <c r="A29" s="34"/>
      <c r="B29" s="118"/>
      <c r="C29" s="118"/>
      <c r="D29" s="118"/>
      <c r="E29" s="52"/>
      <c r="F29" s="54"/>
      <c r="G29" s="55"/>
      <c r="H29" s="56"/>
      <c r="I29" s="118"/>
      <c r="J29" s="56"/>
      <c r="K29" s="59"/>
      <c r="L29" s="55"/>
      <c r="M29" s="55"/>
      <c r="N29" s="56"/>
    </row>
    <row r="30" spans="1:14" ht="16.5" customHeight="1" x14ac:dyDescent="0.25">
      <c r="A30" s="170" t="s">
        <v>130</v>
      </c>
      <c r="B30" s="118"/>
      <c r="C30" s="118"/>
      <c r="D30" s="118"/>
      <c r="E30" s="52"/>
      <c r="F30" s="54"/>
      <c r="G30" s="55"/>
      <c r="H30" s="56"/>
      <c r="I30" s="118"/>
      <c r="J30" s="56"/>
      <c r="K30" s="59"/>
      <c r="L30" s="55"/>
      <c r="M30" s="55"/>
      <c r="N30" s="56"/>
    </row>
    <row r="31" spans="1:14" ht="16.5" customHeight="1" x14ac:dyDescent="0.25">
      <c r="A31" s="37" t="s">
        <v>80</v>
      </c>
      <c r="B31" s="118"/>
      <c r="C31" s="118"/>
      <c r="D31" s="118"/>
      <c r="E31" s="52"/>
      <c r="F31" s="54"/>
      <c r="G31" s="55">
        <f>(0.991907+40.308831+3.223895)*2.204622/60</f>
        <v>1.6359997575620999</v>
      </c>
      <c r="I31" s="118"/>
      <c r="J31" s="56">
        <f>5.131665*2000/60</f>
        <v>171.05549999999999</v>
      </c>
      <c r="K31" s="57"/>
      <c r="L31" s="55">
        <f>(34.30443+7142.853)*2.204622/60</f>
        <v>263.71531946069103</v>
      </c>
      <c r="M31" s="55"/>
      <c r="N31" s="56"/>
    </row>
    <row r="32" spans="1:14" ht="16.5" customHeight="1" x14ac:dyDescent="0.25">
      <c r="A32" s="37" t="s">
        <v>82</v>
      </c>
      <c r="B32" s="118"/>
      <c r="C32" s="118"/>
      <c r="D32" s="118"/>
      <c r="E32" s="128"/>
      <c r="F32" s="54"/>
      <c r="G32" s="55">
        <f>(2.771319+17.330953+4.808326)*2.204622/60</f>
        <v>0.91530753973260004</v>
      </c>
      <c r="I32" s="118"/>
      <c r="J32" s="56">
        <f>5.897079*2000/60</f>
        <v>196.5693</v>
      </c>
      <c r="K32" s="57"/>
      <c r="L32" s="55">
        <f>(44.27145+11528.604)*2.204622/60</f>
        <v>425.23026367216499</v>
      </c>
      <c r="M32" s="55"/>
      <c r="N32" s="56"/>
    </row>
    <row r="33" spans="1:73" ht="16.5" customHeight="1" x14ac:dyDescent="0.25">
      <c r="A33" s="37" t="s">
        <v>84</v>
      </c>
      <c r="B33" s="118"/>
      <c r="C33" s="118"/>
      <c r="D33" s="118"/>
      <c r="E33" s="128"/>
      <c r="F33" s="54"/>
      <c r="G33" s="55">
        <f>(3.096115+4.442072+4.893559)*2.204622/60</f>
        <v>0.45678834550020003</v>
      </c>
      <c r="I33" s="118"/>
      <c r="J33" s="56">
        <f>5.731207*2000/60</f>
        <v>191.04023333333333</v>
      </c>
      <c r="K33" s="57"/>
      <c r="L33" s="55">
        <f>(47.735577+11048.716)*2.204622/60</f>
        <v>407.7246878098149</v>
      </c>
      <c r="M33" s="55"/>
      <c r="N33" s="56"/>
    </row>
    <row r="34" spans="1:73" ht="16.5" customHeight="1" x14ac:dyDescent="0.25">
      <c r="A34" s="37" t="s">
        <v>61</v>
      </c>
      <c r="B34" s="118"/>
      <c r="C34" s="118"/>
      <c r="D34" s="118"/>
      <c r="E34" s="52">
        <f>N27</f>
        <v>524.54100000000005</v>
      </c>
      <c r="F34" s="54">
        <v>4135.4769999999999</v>
      </c>
      <c r="G34" s="55">
        <f>G31+G32+G33</f>
        <v>3.0080956427948999</v>
      </c>
      <c r="H34" s="56">
        <f>E34+F34+G34</f>
        <v>4663.0260956427946</v>
      </c>
      <c r="I34" s="118"/>
      <c r="J34" s="56">
        <f>J31+J32+J33</f>
        <v>558.66503333333333</v>
      </c>
      <c r="K34" s="57">
        <f>M34-L34-J34</f>
        <v>60.950791366790668</v>
      </c>
      <c r="L34" s="55">
        <f>L31+L32+L33</f>
        <v>1096.6702709426709</v>
      </c>
      <c r="M34" s="55">
        <f>H34-N34</f>
        <v>1716.2860956427949</v>
      </c>
      <c r="N34" s="56">
        <v>2946.74</v>
      </c>
    </row>
    <row r="35" spans="1:73" ht="16.8" customHeight="1" x14ac:dyDescent="0.25">
      <c r="A35" s="34" t="s">
        <v>47</v>
      </c>
      <c r="B35" s="118"/>
      <c r="C35" s="118"/>
      <c r="D35" s="118"/>
      <c r="E35" s="52"/>
      <c r="F35" s="55"/>
      <c r="G35" s="55">
        <f>(2.581799+15.016846+5.826621)*2.204622/60</f>
        <v>0.86073094632419989</v>
      </c>
      <c r="H35" s="56"/>
      <c r="I35" s="118"/>
      <c r="J35" s="56">
        <f>5.812997*2000/60</f>
        <v>193.76656666666668</v>
      </c>
      <c r="K35" s="57"/>
      <c r="L35" s="55">
        <f>(53.015482+10764.676)*2.204622/60</f>
        <v>397.48201050716341</v>
      </c>
      <c r="M35" s="55"/>
      <c r="N35" s="56"/>
    </row>
    <row r="36" spans="1:73" ht="16.8" customHeight="1" x14ac:dyDescent="0.25">
      <c r="A36" s="34" t="s">
        <v>48</v>
      </c>
      <c r="B36" s="118"/>
      <c r="C36" s="118"/>
      <c r="D36" s="118"/>
      <c r="E36" s="52"/>
      <c r="F36" s="55"/>
      <c r="G36" s="55">
        <f>(2.3331+4.4056+12.8993)*2.204622/60</f>
        <v>0.72157278059999996</v>
      </c>
      <c r="H36" s="56"/>
      <c r="I36" s="118"/>
      <c r="J36" s="56">
        <f>4.930499*2000/60</f>
        <v>164.34996666666666</v>
      </c>
      <c r="K36" s="57"/>
      <c r="L36" s="55">
        <f>(55.748622+8773.551)*2.204622/60</f>
        <v>324.42113652088136</v>
      </c>
      <c r="M36" s="55"/>
      <c r="N36" s="56"/>
    </row>
    <row r="37" spans="1:73" ht="16.8" customHeight="1" x14ac:dyDescent="0.25">
      <c r="A37" s="34" t="s">
        <v>49</v>
      </c>
      <c r="B37" s="118"/>
      <c r="C37" s="118"/>
      <c r="D37" s="118"/>
      <c r="E37" s="52"/>
      <c r="F37" s="55"/>
      <c r="G37" s="55">
        <f>(2.5313+6.8033+13.2182)*2.204622/60</f>
        <v>0.82867331735999994</v>
      </c>
      <c r="H37" s="56"/>
      <c r="I37" s="118"/>
      <c r="J37" s="56">
        <f>5.89536*2000/60</f>
        <v>196.51200000000003</v>
      </c>
      <c r="K37" s="57"/>
      <c r="L37" s="55">
        <f>(40.485144+4518.222)*2.204622/60</f>
        <v>167.5037676869928</v>
      </c>
      <c r="M37" s="55"/>
      <c r="N37" s="56"/>
    </row>
    <row r="38" spans="1:73" ht="16.8" customHeight="1" x14ac:dyDescent="0.25">
      <c r="A38" s="34" t="s">
        <v>62</v>
      </c>
      <c r="B38" s="118"/>
      <c r="C38" s="118"/>
      <c r="D38" s="118"/>
      <c r="E38" s="52">
        <f>N34</f>
        <v>2946.74</v>
      </c>
      <c r="F38" s="55"/>
      <c r="G38" s="55">
        <f>SUM(G35:G37)</f>
        <v>2.4109770442841998</v>
      </c>
      <c r="H38" s="56">
        <f>E38+F38+G38</f>
        <v>2949.150977044284</v>
      </c>
      <c r="I38" s="118"/>
      <c r="J38" s="56">
        <f>SUM(J35:J37)</f>
        <v>554.62853333333339</v>
      </c>
      <c r="K38" s="57">
        <f>M38-L38-J38</f>
        <v>-59.048471004086878</v>
      </c>
      <c r="L38" s="55">
        <f>SUM(L35:L37)</f>
        <v>889.40691471503749</v>
      </c>
      <c r="M38" s="55">
        <f>H38-N38</f>
        <v>1384.986977044284</v>
      </c>
      <c r="N38" s="140">
        <v>1564.164</v>
      </c>
    </row>
    <row r="39" spans="1:73" ht="16.8" customHeight="1" x14ac:dyDescent="0.25">
      <c r="A39" s="34" t="s">
        <v>50</v>
      </c>
      <c r="B39" s="118"/>
      <c r="C39" s="118"/>
      <c r="D39" s="118"/>
      <c r="E39" s="52"/>
      <c r="F39" s="55"/>
      <c r="G39" s="55">
        <f>(4.863+8.0296+13.2501)*2.204622/60</f>
        <v>0.96057952599000018</v>
      </c>
      <c r="H39" s="56"/>
      <c r="I39" s="118"/>
      <c r="J39" s="147">
        <v>564.67280000000005</v>
      </c>
      <c r="K39" s="57"/>
      <c r="L39" s="55">
        <f>(34.491759+2260.63)*2.204622/60</f>
        <v>84.331265376168318</v>
      </c>
      <c r="M39" s="55"/>
      <c r="N39" s="140"/>
    </row>
    <row r="40" spans="1:73" ht="16.5" customHeight="1" x14ac:dyDescent="0.25">
      <c r="A40" s="33" t="s">
        <v>131</v>
      </c>
      <c r="B40" s="116"/>
      <c r="C40" s="116"/>
      <c r="D40" s="116"/>
      <c r="E40" s="132"/>
      <c r="F40" s="133">
        <f>F34</f>
        <v>4135.4769999999999</v>
      </c>
      <c r="G40" s="60">
        <f>G34+G35+G36</f>
        <v>4.5903993697190995</v>
      </c>
      <c r="H40" s="117">
        <f>E34+F40+G40</f>
        <v>4664.6083993697193</v>
      </c>
      <c r="I40" s="116"/>
      <c r="J40" s="117">
        <f>J34+J35+J36</f>
        <v>916.78156666666666</v>
      </c>
      <c r="K40" s="134">
        <f>SUM(K31:K38)</f>
        <v>1.9023203627037901</v>
      </c>
      <c r="L40" s="60">
        <f>L34+L35+K36</f>
        <v>1494.1522814498344</v>
      </c>
      <c r="M40" s="60">
        <f>SUM(M31:M38)</f>
        <v>3101.2730726870786</v>
      </c>
      <c r="N40" s="135"/>
    </row>
    <row r="41" spans="1:73" ht="16.5" customHeight="1" x14ac:dyDescent="0.25">
      <c r="A41" s="61" t="s">
        <v>122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62"/>
      <c r="M41" s="37"/>
      <c r="N41" s="37"/>
    </row>
    <row r="42" spans="1:73" ht="16.5" customHeight="1" x14ac:dyDescent="0.3">
      <c r="A42" s="34" t="s">
        <v>153</v>
      </c>
      <c r="B42" s="34"/>
      <c r="C42" s="34"/>
      <c r="D42" s="34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73" ht="16.5" customHeight="1" x14ac:dyDescent="0.3">
      <c r="A43" s="64"/>
      <c r="B43" s="34"/>
      <c r="C43" s="34"/>
      <c r="D43" s="34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ht="16.5" customHeight="1" x14ac:dyDescent="0.25">
      <c r="A44" s="38" t="s">
        <v>18</v>
      </c>
      <c r="B44" s="65">
        <f ca="1">NOW()</f>
        <v>44341.37117604167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F48" s="15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</sheetData>
  <dataConsolidate link="1"/>
  <phoneticPr fontId="5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1"/>
  <sheetViews>
    <sheetView showGridLines="0" zoomScaleNormal="100" workbookViewId="0">
      <selection activeCell="A25" sqref="A25"/>
    </sheetView>
  </sheetViews>
  <sheetFormatPr defaultRowHeight="13.2" x14ac:dyDescent="0.25"/>
  <cols>
    <col min="1" max="1" width="14.77734375" customWidth="1"/>
    <col min="2" max="2" width="11.77734375" customWidth="1"/>
    <col min="3" max="3" width="10.77734375" customWidth="1"/>
    <col min="4" max="4" width="7.77734375" customWidth="1"/>
    <col min="5" max="5" width="10.77734375" customWidth="1"/>
    <col min="6" max="6" width="1.77734375" customWidth="1"/>
    <col min="7" max="10" width="10.77734375" customWidth="1"/>
    <col min="11" max="11" width="7.77734375" customWidth="1"/>
  </cols>
  <sheetData>
    <row r="1" spans="1:12" ht="13.8" x14ac:dyDescent="0.25">
      <c r="A1" s="33" t="s">
        <v>143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13.8" x14ac:dyDescent="0.25">
      <c r="A2" s="34"/>
      <c r="B2" s="177" t="s">
        <v>0</v>
      </c>
      <c r="C2" s="177"/>
      <c r="D2" s="177"/>
      <c r="E2" s="177"/>
      <c r="F2" s="37"/>
      <c r="G2" s="177" t="s">
        <v>17</v>
      </c>
      <c r="H2" s="177"/>
      <c r="I2" s="177"/>
      <c r="J2" s="34"/>
    </row>
    <row r="3" spans="1:12" ht="13.8" x14ac:dyDescent="0.25">
      <c r="A3" s="34" t="s">
        <v>64</v>
      </c>
      <c r="B3" s="36" t="s">
        <v>8</v>
      </c>
      <c r="C3" s="38"/>
      <c r="D3" s="38"/>
      <c r="E3" s="38"/>
      <c r="F3" s="38"/>
      <c r="G3" s="38"/>
      <c r="H3" s="38"/>
      <c r="I3" s="38"/>
      <c r="J3" s="36" t="s">
        <v>26</v>
      </c>
    </row>
    <row r="4" spans="1:12" ht="13.8" x14ac:dyDescent="0.25">
      <c r="A4" s="39" t="s">
        <v>65</v>
      </c>
      <c r="B4" s="41" t="s">
        <v>25</v>
      </c>
      <c r="C4" s="41" t="s">
        <v>1</v>
      </c>
      <c r="D4" s="41" t="s">
        <v>2</v>
      </c>
      <c r="E4" s="43" t="s">
        <v>24</v>
      </c>
      <c r="F4" s="42"/>
      <c r="G4" s="41" t="s">
        <v>27</v>
      </c>
      <c r="H4" s="41" t="s">
        <v>23</v>
      </c>
      <c r="I4" s="41" t="s">
        <v>24</v>
      </c>
      <c r="J4" s="41" t="s">
        <v>74</v>
      </c>
    </row>
    <row r="5" spans="1:12" ht="14.4" x14ac:dyDescent="0.3">
      <c r="A5" s="34"/>
      <c r="B5" s="178" t="s">
        <v>81</v>
      </c>
      <c r="C5" s="178"/>
      <c r="D5" s="178"/>
      <c r="E5" s="178"/>
      <c r="F5" s="178"/>
      <c r="G5" s="178"/>
      <c r="H5" s="178"/>
      <c r="I5" s="178"/>
      <c r="J5" s="178"/>
    </row>
    <row r="6" spans="1:12" ht="13.8" x14ac:dyDescent="0.25">
      <c r="A6" s="34" t="s">
        <v>121</v>
      </c>
      <c r="B6" s="66">
        <v>402.01499999999999</v>
      </c>
      <c r="C6" s="67">
        <v>51100.43</v>
      </c>
      <c r="D6" s="67">
        <v>639.279164260926</v>
      </c>
      <c r="E6" s="48">
        <v>52141.724164260922</v>
      </c>
      <c r="F6" s="67"/>
      <c r="G6" s="67">
        <v>37723.484000376411</v>
      </c>
      <c r="H6" s="67">
        <v>14076.904163884506</v>
      </c>
      <c r="I6" s="67">
        <v>51800.388164260919</v>
      </c>
      <c r="J6" s="67">
        <v>341.33600000000001</v>
      </c>
    </row>
    <row r="7" spans="1:12" ht="16.2" x14ac:dyDescent="0.25">
      <c r="A7" s="34" t="s">
        <v>124</v>
      </c>
      <c r="B7" s="66">
        <f>J6</f>
        <v>341.33600000000001</v>
      </c>
      <c r="C7" s="67">
        <v>51759</v>
      </c>
      <c r="D7" s="67">
        <v>650</v>
      </c>
      <c r="E7" s="48">
        <f>SUM(B7:D7)</f>
        <v>52750.336000000003</v>
      </c>
      <c r="F7" s="67"/>
      <c r="G7" s="67">
        <f>I7-H7</f>
        <v>38100.336000000003</v>
      </c>
      <c r="H7" s="67">
        <v>14250</v>
      </c>
      <c r="I7" s="67">
        <f>E7-J7</f>
        <v>52350.336000000003</v>
      </c>
      <c r="J7" s="67">
        <v>400</v>
      </c>
    </row>
    <row r="8" spans="1:12" ht="16.2" x14ac:dyDescent="0.25">
      <c r="A8" s="34" t="s">
        <v>165</v>
      </c>
      <c r="B8" s="66">
        <f>J7</f>
        <v>400</v>
      </c>
      <c r="C8" s="67">
        <v>52500</v>
      </c>
      <c r="D8" s="67">
        <v>450</v>
      </c>
      <c r="E8" s="48">
        <f>SUM(B8:D8)</f>
        <v>53350</v>
      </c>
      <c r="F8" s="67"/>
      <c r="G8" s="67">
        <f>I8-H8</f>
        <v>38600</v>
      </c>
      <c r="H8" s="67">
        <v>14300</v>
      </c>
      <c r="I8" s="67">
        <f>E8-J8</f>
        <v>52900</v>
      </c>
      <c r="J8" s="67">
        <v>450</v>
      </c>
    </row>
    <row r="9" spans="1:12" ht="13.8" x14ac:dyDescent="0.25">
      <c r="A9" s="34"/>
      <c r="B9" s="68"/>
      <c r="C9" s="68"/>
      <c r="D9" s="68"/>
      <c r="E9" s="68"/>
      <c r="F9" s="68"/>
      <c r="G9" s="67"/>
      <c r="H9" s="68"/>
      <c r="I9" s="68"/>
      <c r="J9" s="68"/>
    </row>
    <row r="10" spans="1:12" ht="15.6" x14ac:dyDescent="0.3">
      <c r="A10" s="171" t="s">
        <v>121</v>
      </c>
      <c r="B10" s="70"/>
      <c r="C10" s="55"/>
      <c r="D10" s="55"/>
      <c r="E10" s="55"/>
      <c r="F10" s="55"/>
      <c r="G10" s="55"/>
      <c r="H10" s="55"/>
      <c r="I10" s="55"/>
      <c r="J10" s="55"/>
      <c r="K10" s="18"/>
      <c r="L10" s="18"/>
    </row>
    <row r="11" spans="1:12" ht="15.6" x14ac:dyDescent="0.3">
      <c r="A11" s="37" t="s">
        <v>45</v>
      </c>
      <c r="B11" s="70">
        <f>360.387+41.628</f>
        <v>402.01499999999999</v>
      </c>
      <c r="C11" s="55">
        <f>4105.453+276.379</f>
        <v>4381.8320000000003</v>
      </c>
      <c r="D11" s="55">
        <f>(34717.207+8327+125.964+103.856)*2.204622/2000</f>
        <v>47.701435976397008</v>
      </c>
      <c r="E11" s="55">
        <f>SUM(B11:D11)</f>
        <v>4831.5484359763977</v>
      </c>
      <c r="F11" s="69"/>
      <c r="G11" s="71">
        <f t="shared" ref="G11:G22" si="0">I11-H11</f>
        <v>3326.9284705422137</v>
      </c>
      <c r="H11" s="71">
        <f>((785.683617+14.393+233.530927))*(2.204622/2)</f>
        <v>1139.3569654341841</v>
      </c>
      <c r="I11" s="69">
        <f t="shared" ref="I11:I22" si="1">E11-J11</f>
        <v>4466.2854359763978</v>
      </c>
      <c r="J11" s="71">
        <f>335.087+30.176</f>
        <v>365.26299999999998</v>
      </c>
      <c r="K11" s="18"/>
      <c r="L11" s="18"/>
    </row>
    <row r="12" spans="1:12" ht="15.6" x14ac:dyDescent="0.3">
      <c r="A12" s="37" t="s">
        <v>46</v>
      </c>
      <c r="B12" s="70">
        <f t="shared" ref="B12:B22" si="2">J11</f>
        <v>365.26299999999998</v>
      </c>
      <c r="C12" s="55">
        <f>3855.827+255.945</f>
        <v>4111.7719999999999</v>
      </c>
      <c r="D12" s="55">
        <f>(29823.451+2961+130.165+90.108)*2.204622/2000</f>
        <v>36.381470317164009</v>
      </c>
      <c r="E12" s="55">
        <f t="shared" ref="E12:E18" si="3">SUM(B12:D12)</f>
        <v>4513.4164703171637</v>
      </c>
      <c r="F12" s="55"/>
      <c r="G12" s="71">
        <f t="shared" si="0"/>
        <v>2798.9963823138437</v>
      </c>
      <c r="H12" s="71">
        <f>((866.134196+3.458+261.673924))*(2.204622/2)</f>
        <v>1247.00708800332</v>
      </c>
      <c r="I12" s="69">
        <f t="shared" si="1"/>
        <v>4046.0034703171636</v>
      </c>
      <c r="J12" s="55">
        <f>426.332+41.081</f>
        <v>467.41300000000001</v>
      </c>
      <c r="K12" s="18"/>
      <c r="L12" s="18"/>
    </row>
    <row r="13" spans="1:12" ht="15.6" x14ac:dyDescent="0.3">
      <c r="A13" s="37" t="s">
        <v>47</v>
      </c>
      <c r="B13" s="70">
        <f t="shared" si="2"/>
        <v>467.41300000000001</v>
      </c>
      <c r="C13" s="55">
        <f>4062.929+274.643</f>
        <v>4337.5720000000001</v>
      </c>
      <c r="D13" s="55">
        <f>(33710.056+13585+182.009+72.517)*2.204622/2000</f>
        <v>52.414427284001995</v>
      </c>
      <c r="E13" s="55">
        <f t="shared" si="3"/>
        <v>4857.3994272840027</v>
      </c>
      <c r="F13" s="55"/>
      <c r="G13" s="71">
        <f t="shared" si="0"/>
        <v>3384.5441774417495</v>
      </c>
      <c r="H13" s="71">
        <f>((764.679901+9.721+219.677222))*(2.204622/2)</f>
        <v>1095.7832498422531</v>
      </c>
      <c r="I13" s="69">
        <f t="shared" si="1"/>
        <v>4480.3274272840026</v>
      </c>
      <c r="J13" s="55">
        <f>342.085+34.987</f>
        <v>377.072</v>
      </c>
      <c r="K13" s="18"/>
      <c r="L13" s="18"/>
    </row>
    <row r="14" spans="1:12" ht="15.6" x14ac:dyDescent="0.3">
      <c r="A14" s="37" t="s">
        <v>48</v>
      </c>
      <c r="B14" s="70">
        <f t="shared" si="2"/>
        <v>377.072</v>
      </c>
      <c r="C14" s="55">
        <f>4144.355+281.394</f>
        <v>4425.7489999999998</v>
      </c>
      <c r="D14" s="55">
        <f>(50090.882+4913+179.878+155.261)*2.204622/2000</f>
        <v>61.000811577530996</v>
      </c>
      <c r="E14" s="55">
        <f t="shared" si="3"/>
        <v>4863.8218115775308</v>
      </c>
      <c r="F14" s="55"/>
      <c r="G14" s="71">
        <f t="shared" si="0"/>
        <v>3435.4339578735735</v>
      </c>
      <c r="H14" s="71">
        <f>((709.103359+18.259+255.531628))*(2.204622/2)</f>
        <v>1083.454853703957</v>
      </c>
      <c r="I14" s="69">
        <f t="shared" si="1"/>
        <v>4518.8888115775308</v>
      </c>
      <c r="J14" s="55">
        <f>302.321+42.612</f>
        <v>344.93300000000005</v>
      </c>
      <c r="K14" s="18"/>
      <c r="L14" s="18"/>
    </row>
    <row r="15" spans="1:12" ht="15.6" x14ac:dyDescent="0.3">
      <c r="A15" s="37" t="s">
        <v>49</v>
      </c>
      <c r="B15" s="70">
        <f t="shared" si="2"/>
        <v>344.93300000000005</v>
      </c>
      <c r="C15" s="55">
        <f>3863.475+259.153</f>
        <v>4122.6279999999997</v>
      </c>
      <c r="D15" s="55">
        <f>(41456.755+3685+293.02+207.359)*2.204622/2000</f>
        <v>50.311826371673988</v>
      </c>
      <c r="E15" s="55">
        <f t="shared" si="3"/>
        <v>4517.8728263716739</v>
      </c>
      <c r="F15" s="55"/>
      <c r="G15" s="71">
        <f t="shared" si="0"/>
        <v>2687.3697811372549</v>
      </c>
      <c r="H15" s="71">
        <f>((1026.306442+5.115+227.891987))*(2.204622/2)</f>
        <v>1388.155045234419</v>
      </c>
      <c r="I15" s="69">
        <f t="shared" si="1"/>
        <v>4075.524826371674</v>
      </c>
      <c r="J15" s="55">
        <f>396.511+45.837</f>
        <v>442.34800000000001</v>
      </c>
      <c r="K15" s="18"/>
      <c r="L15" s="18"/>
    </row>
    <row r="16" spans="1:12" ht="15.6" x14ac:dyDescent="0.3">
      <c r="A16" s="37" t="s">
        <v>50</v>
      </c>
      <c r="B16" s="70">
        <f t="shared" si="2"/>
        <v>442.34800000000001</v>
      </c>
      <c r="C16" s="55">
        <f>4234.605+283.308</f>
        <v>4517.9129999999996</v>
      </c>
      <c r="D16" s="55">
        <f>(52975.114+4417+49.514+310.515)*2.204622/2000</f>
        <v>63.660822502473003</v>
      </c>
      <c r="E16" s="55">
        <f t="shared" si="3"/>
        <v>5023.9218225024724</v>
      </c>
      <c r="F16" s="55"/>
      <c r="G16" s="71">
        <f t="shared" si="0"/>
        <v>3277.7267723843088</v>
      </c>
      <c r="H16" s="71">
        <f>((966.396996+5.084+236.114728))*(2.204622/2)</f>
        <v>1331.1460501181639</v>
      </c>
      <c r="I16" s="69">
        <f t="shared" si="1"/>
        <v>4608.8728225024724</v>
      </c>
      <c r="J16" s="55">
        <f>368.552+46.497</f>
        <v>415.04900000000004</v>
      </c>
      <c r="K16" s="18"/>
      <c r="L16" s="18"/>
    </row>
    <row r="17" spans="1:12" ht="15.6" x14ac:dyDescent="0.3">
      <c r="A17" s="37" t="s">
        <v>51</v>
      </c>
      <c r="B17" s="70">
        <f t="shared" si="2"/>
        <v>415.04900000000004</v>
      </c>
      <c r="C17" s="55">
        <f>4039.265+272.912</f>
        <v>4312.1769999999997</v>
      </c>
      <c r="D17" s="55">
        <f>(43596.712+4455+129.156+140.58)*2.204622/2000</f>
        <v>53.265263666328003</v>
      </c>
      <c r="E17" s="55">
        <f t="shared" si="3"/>
        <v>4780.4912636663275</v>
      </c>
      <c r="F17" s="55"/>
      <c r="G17" s="71">
        <f t="shared" si="0"/>
        <v>3177.7169864129364</v>
      </c>
      <c r="H17" s="71">
        <f>((860.759415+13.997+228.907866))*(2.204622/2)</f>
        <v>1216.5812772533909</v>
      </c>
      <c r="I17" s="69">
        <f t="shared" si="1"/>
        <v>4394.2982636663273</v>
      </c>
      <c r="J17" s="55">
        <f>341.681+44.512</f>
        <v>386.19299999999998</v>
      </c>
      <c r="K17" s="18"/>
      <c r="L17" s="18"/>
    </row>
    <row r="18" spans="1:12" ht="15.6" x14ac:dyDescent="0.3">
      <c r="A18" s="37" t="s">
        <v>52</v>
      </c>
      <c r="B18" s="70">
        <f t="shared" si="2"/>
        <v>386.19299999999998</v>
      </c>
      <c r="C18" s="55">
        <f>3970.047+270.933</f>
        <v>4240.9799999999996</v>
      </c>
      <c r="D18" s="55">
        <f>(37305.065+3502+57.044+184.091)*2.204622/2000</f>
        <v>45.247882390200004</v>
      </c>
      <c r="E18" s="55">
        <f t="shared" si="3"/>
        <v>4672.4208823901999</v>
      </c>
      <c r="F18" s="55"/>
      <c r="G18" s="71">
        <f t="shared" si="0"/>
        <v>3079.8223548584401</v>
      </c>
      <c r="H18" s="71">
        <f>((740.918471+16.721+235.502689))*(2.204622/2)</f>
        <v>1094.7515275317601</v>
      </c>
      <c r="I18" s="69">
        <f t="shared" si="1"/>
        <v>4174.5738823902002</v>
      </c>
      <c r="J18" s="55">
        <f>442.173+55.674</f>
        <v>497.84699999999998</v>
      </c>
      <c r="K18" s="18"/>
      <c r="L18" s="18"/>
    </row>
    <row r="19" spans="1:12" ht="15.6" x14ac:dyDescent="0.3">
      <c r="A19" s="37" t="s">
        <v>53</v>
      </c>
      <c r="B19" s="70">
        <f t="shared" si="2"/>
        <v>497.84699999999998</v>
      </c>
      <c r="C19" s="55">
        <f>3904.725+262.751</f>
        <v>4167.4759999999997</v>
      </c>
      <c r="D19" s="55">
        <f>(33413.436+2627+130.744+121.582)*2.204622/2000</f>
        <v>40.005910772982006</v>
      </c>
      <c r="E19" s="55">
        <f>SUM(B19:D19)</f>
        <v>4705.3289107729815</v>
      </c>
      <c r="F19" s="55"/>
      <c r="G19" s="71">
        <f t="shared" si="0"/>
        <v>3062.0751743096025</v>
      </c>
      <c r="H19" s="71">
        <f>((823.744033+10.41+237.186756))*(2.204622/2)</f>
        <v>1180.9507364633789</v>
      </c>
      <c r="I19" s="69">
        <f t="shared" si="1"/>
        <v>4243.0259107729817</v>
      </c>
      <c r="J19" s="55">
        <f>420.426+41.877</f>
        <v>462.303</v>
      </c>
      <c r="K19" s="18"/>
      <c r="L19" s="18"/>
    </row>
    <row r="20" spans="1:12" ht="15.6" x14ac:dyDescent="0.3">
      <c r="A20" s="37" t="s">
        <v>55</v>
      </c>
      <c r="B20" s="70">
        <f t="shared" si="2"/>
        <v>462.303</v>
      </c>
      <c r="C20" s="55">
        <f>4080.746+280.424</f>
        <v>4361.17</v>
      </c>
      <c r="D20" s="55">
        <f>(47678.67+3348+387.614+915.017)*2.204622/2000</f>
        <v>57.683164114611003</v>
      </c>
      <c r="E20" s="55">
        <f>SUM(B20:D20)</f>
        <v>4881.1561641146109</v>
      </c>
      <c r="F20" s="55"/>
      <c r="G20" s="71">
        <f t="shared" si="0"/>
        <v>3284.6331330738053</v>
      </c>
      <c r="H20" s="71">
        <f>((790.336731+7.915+241.385024))*(2.204622/2)</f>
        <v>1146.0030310408051</v>
      </c>
      <c r="I20" s="69">
        <f t="shared" si="1"/>
        <v>4430.6361641146104</v>
      </c>
      <c r="J20" s="55">
        <f>411.925+38.595</f>
        <v>450.52</v>
      </c>
      <c r="K20" s="18"/>
      <c r="L20" s="18"/>
    </row>
    <row r="21" spans="1:12" ht="15.6" x14ac:dyDescent="0.3">
      <c r="A21" s="37" t="s">
        <v>56</v>
      </c>
      <c r="B21" s="70">
        <f t="shared" si="2"/>
        <v>450.52</v>
      </c>
      <c r="C21" s="55">
        <f>3851.205+260.54</f>
        <v>4111.7449999999999</v>
      </c>
      <c r="D21" s="55">
        <f>(45234.399+8392+185.404+1077.226)*2.204622/2000</f>
        <v>60.504780446019005</v>
      </c>
      <c r="E21" s="55">
        <f>SUM(B21:D21)</f>
        <v>4622.7697804460186</v>
      </c>
      <c r="F21" s="55"/>
      <c r="G21" s="71">
        <f t="shared" si="0"/>
        <v>3106.233034962208</v>
      </c>
      <c r="H21" s="71">
        <f>((748.764091+13.463+231.53941))*(2.204622/2)</f>
        <v>1095.4397454838111</v>
      </c>
      <c r="I21" s="69">
        <f t="shared" si="1"/>
        <v>4201.6727804460188</v>
      </c>
      <c r="J21" s="55">
        <f>388.138+32.959</f>
        <v>421.09699999999998</v>
      </c>
      <c r="K21" s="18"/>
      <c r="L21" s="18"/>
    </row>
    <row r="22" spans="1:12" ht="15.6" x14ac:dyDescent="0.3">
      <c r="A22" s="37" t="s">
        <v>58</v>
      </c>
      <c r="B22" s="70">
        <f t="shared" si="2"/>
        <v>421.09699999999998</v>
      </c>
      <c r="C22" s="55">
        <f>3754.168+255.248</f>
        <v>4009.4160000000002</v>
      </c>
      <c r="D22" s="55">
        <f>(60244.927+3644+284.761+328.407)*2.204622/2000</f>
        <v>71.101368841544996</v>
      </c>
      <c r="E22" s="55">
        <f>SUM(B22:D22)</f>
        <v>4501.614368841545</v>
      </c>
      <c r="F22" s="55"/>
      <c r="G22" s="71">
        <f t="shared" si="0"/>
        <v>3102.0037750664815</v>
      </c>
      <c r="H22" s="71">
        <f>((724.522648+15.008+220.520185))*(2.204622/2)</f>
        <v>1058.2745937750631</v>
      </c>
      <c r="I22" s="69">
        <f t="shared" si="1"/>
        <v>4160.2783688415448</v>
      </c>
      <c r="J22" s="55">
        <f>312.944+28.392</f>
        <v>341.33600000000001</v>
      </c>
      <c r="K22" s="18"/>
      <c r="L22" s="18"/>
    </row>
    <row r="23" spans="1:12" ht="15.6" x14ac:dyDescent="0.3">
      <c r="A23" s="37" t="s">
        <v>3</v>
      </c>
      <c r="B23" s="70"/>
      <c r="C23" s="55">
        <f>SUM(C11:C22)</f>
        <v>51100.43</v>
      </c>
      <c r="D23" s="55">
        <f>SUM(D11:D22)</f>
        <v>639.279164260926</v>
      </c>
      <c r="E23" s="55">
        <f>B11+C23+D23</f>
        <v>52141.724164260922</v>
      </c>
      <c r="F23" s="55"/>
      <c r="G23" s="71">
        <f>SUM(G11:G22)</f>
        <v>37723.484000376426</v>
      </c>
      <c r="H23" s="71">
        <f>SUM(H11:H22)</f>
        <v>14076.904163884506</v>
      </c>
      <c r="I23" s="69">
        <f>SUM(I11:I22)</f>
        <v>51800.388164260919</v>
      </c>
      <c r="J23" s="55"/>
      <c r="K23" s="18"/>
      <c r="L23" s="18"/>
    </row>
    <row r="24" spans="1:12" ht="15.6" x14ac:dyDescent="0.3">
      <c r="A24" s="37"/>
      <c r="B24" s="70"/>
      <c r="C24" s="55"/>
      <c r="D24" s="55"/>
      <c r="E24" s="55"/>
      <c r="F24" s="55"/>
      <c r="G24" s="55"/>
      <c r="H24" s="55"/>
      <c r="I24" s="55"/>
      <c r="J24" s="55"/>
      <c r="K24" s="18"/>
      <c r="L24" s="18"/>
    </row>
    <row r="25" spans="1:12" ht="15.6" x14ac:dyDescent="0.3">
      <c r="A25" s="171" t="s">
        <v>130</v>
      </c>
      <c r="B25" s="70"/>
      <c r="C25" s="55"/>
      <c r="D25" s="55"/>
      <c r="E25" s="55"/>
      <c r="F25" s="55"/>
      <c r="G25" s="55"/>
      <c r="H25" s="55"/>
      <c r="I25" s="55"/>
      <c r="J25" s="55"/>
      <c r="K25" s="18"/>
      <c r="L25" s="18"/>
    </row>
    <row r="26" spans="1:12" ht="15.6" x14ac:dyDescent="0.3">
      <c r="A26" s="37" t="s">
        <v>45</v>
      </c>
      <c r="B26" s="70">
        <f>J22</f>
        <v>341.33600000000001</v>
      </c>
      <c r="C26" s="55">
        <f>4335.054+280.538</f>
        <v>4615.5920000000006</v>
      </c>
      <c r="D26" s="55">
        <f>(58774.377+3828+317.69+198.763)*2.204622/2000</f>
        <v>69.576580616130002</v>
      </c>
      <c r="E26" s="55">
        <f t="shared" ref="E26:E31" si="4">SUM(B26:D26)</f>
        <v>5026.5045806161306</v>
      </c>
      <c r="F26" s="69"/>
      <c r="G26" s="71">
        <f t="shared" ref="G26:G31" si="5">I26-H26</f>
        <v>3554.9196279000498</v>
      </c>
      <c r="H26" s="71">
        <f>((722.750436+12.73+260.051635))*(2.204622/2)</f>
        <v>1097.3859527160812</v>
      </c>
      <c r="I26" s="69">
        <f t="shared" ref="I26:I31" si="6">E26-J26</f>
        <v>4652.305580616131</v>
      </c>
      <c r="J26" s="71">
        <f>342.914+31.285</f>
        <v>374.19900000000001</v>
      </c>
      <c r="K26" s="18"/>
      <c r="L26" s="18"/>
    </row>
    <row r="27" spans="1:12" ht="15.6" x14ac:dyDescent="0.3">
      <c r="A27" s="37" t="s">
        <v>46</v>
      </c>
      <c r="B27" s="70">
        <f>J26</f>
        <v>374.19900000000001</v>
      </c>
      <c r="C27" s="55">
        <f>4230.274+286.02</f>
        <v>4516.2939999999999</v>
      </c>
      <c r="D27" s="55">
        <f>(57728.983+3553+27.687+527.103)*2.204622/2000</f>
        <v>68.163355082403015</v>
      </c>
      <c r="E27" s="55">
        <f t="shared" si="4"/>
        <v>4958.6563550824021</v>
      </c>
      <c r="F27" s="69"/>
      <c r="G27" s="71">
        <f t="shared" si="5"/>
        <v>3210.4986535649587</v>
      </c>
      <c r="H27" s="71">
        <f>((931.442351+17.111+221.480062))*(2.204622/2)</f>
        <v>1289.7407015174431</v>
      </c>
      <c r="I27" s="69">
        <f t="shared" si="6"/>
        <v>4500.2393550824017</v>
      </c>
      <c r="J27" s="71">
        <f>415.107+43.31</f>
        <v>458.41700000000003</v>
      </c>
      <c r="K27" s="18"/>
      <c r="L27" s="18"/>
    </row>
    <row r="28" spans="1:12" ht="15.6" x14ac:dyDescent="0.3">
      <c r="A28" s="37" t="s">
        <v>47</v>
      </c>
      <c r="B28" s="70">
        <f>J27</f>
        <v>458.41700000000003</v>
      </c>
      <c r="C28" s="55">
        <f>4269.964+299.006</f>
        <v>4568.97</v>
      </c>
      <c r="D28" s="55">
        <f>(53774.027+4411+151.156+330.376)*2.204622/2000</f>
        <v>64.668793317849008</v>
      </c>
      <c r="E28" s="55">
        <f t="shared" si="4"/>
        <v>5092.0557933178497</v>
      </c>
      <c r="F28" s="69"/>
      <c r="G28" s="71">
        <f t="shared" si="5"/>
        <v>3253.6208184322322</v>
      </c>
      <c r="H28" s="71">
        <f>((994.759912+10.218+301.881926))*(2.204622/2)</f>
        <v>1440.5659748856178</v>
      </c>
      <c r="I28" s="69">
        <f t="shared" si="6"/>
        <v>4694.1867933178501</v>
      </c>
      <c r="J28" s="71">
        <f>358.134+39.735</f>
        <v>397.86900000000003</v>
      </c>
      <c r="K28" s="18"/>
      <c r="L28" s="18"/>
    </row>
    <row r="29" spans="1:12" ht="15.6" x14ac:dyDescent="0.3">
      <c r="A29" s="37" t="s">
        <v>48</v>
      </c>
      <c r="B29" s="70">
        <f>J28</f>
        <v>397.86900000000003</v>
      </c>
      <c r="C29" s="55">
        <f>4353.068+312.586</f>
        <v>4665.6540000000005</v>
      </c>
      <c r="D29" s="138">
        <f>(56700.2+4955+88+261.6)*2.204622/2000</f>
        <v>68.348573092799995</v>
      </c>
      <c r="E29" s="138">
        <f t="shared" si="4"/>
        <v>5131.8715730927997</v>
      </c>
      <c r="F29" s="137"/>
      <c r="G29" s="139">
        <f t="shared" si="5"/>
        <v>3090.4993076226997</v>
      </c>
      <c r="H29" s="139">
        <f>((9.636+271.3804+1041.0327))*(2.204622/2)</f>
        <v>1457.3092654700999</v>
      </c>
      <c r="I29" s="137">
        <f t="shared" si="6"/>
        <v>4547.8085730927996</v>
      </c>
      <c r="J29" s="71">
        <f>544.178+39.885</f>
        <v>584.06299999999999</v>
      </c>
      <c r="K29" s="18"/>
      <c r="L29" s="18"/>
    </row>
    <row r="30" spans="1:12" ht="15.6" x14ac:dyDescent="0.3">
      <c r="A30" s="37" t="s">
        <v>49</v>
      </c>
      <c r="B30" s="70">
        <f>J29</f>
        <v>584.06299999999999</v>
      </c>
      <c r="C30" s="55">
        <f>3652.574+266.097</f>
        <v>3918.6710000000003</v>
      </c>
      <c r="D30" s="142">
        <f>(55664.6+4916+28.5+222.2)*2.204622/2000</f>
        <v>67.055011134300003</v>
      </c>
      <c r="E30" s="138">
        <f t="shared" si="4"/>
        <v>4569.7890111343004</v>
      </c>
      <c r="F30" s="137"/>
      <c r="G30" s="139">
        <f t="shared" si="5"/>
        <v>2697.3395817436003</v>
      </c>
      <c r="H30" s="141">
        <f>((864.9103+310.6284+18.905))*(2.204622/2)</f>
        <v>1316.6484293907001</v>
      </c>
      <c r="I30" s="137">
        <f t="shared" si="6"/>
        <v>4013.9880111343005</v>
      </c>
      <c r="J30" s="71">
        <f>512.393+43.408</f>
        <v>555.80100000000004</v>
      </c>
      <c r="K30" s="18"/>
      <c r="L30" s="18"/>
    </row>
    <row r="31" spans="1:12" ht="15.6" x14ac:dyDescent="0.3">
      <c r="A31" s="37" t="s">
        <v>50</v>
      </c>
      <c r="B31" s="70">
        <f>J30</f>
        <v>555.80100000000004</v>
      </c>
      <c r="C31" s="142">
        <f>4154.18+295.287</f>
        <v>4449.4670000000006</v>
      </c>
      <c r="D31" s="142">
        <f>(61253.6+4641+496.8+57.2)*2.204622/2000</f>
        <v>73.247022714600007</v>
      </c>
      <c r="E31" s="142">
        <f t="shared" si="4"/>
        <v>5078.5150227146005</v>
      </c>
      <c r="F31" s="148"/>
      <c r="G31" s="141">
        <f t="shared" si="5"/>
        <v>3331.9960467138008</v>
      </c>
      <c r="H31" s="141">
        <f>((206.4583+965.2595+6.515))*(2.204622/2)</f>
        <v>1298.7789760008</v>
      </c>
      <c r="I31" s="137">
        <f t="shared" si="6"/>
        <v>4630.7750227146007</v>
      </c>
      <c r="J31" s="71">
        <f>415.418+32.322</f>
        <v>447.74</v>
      </c>
      <c r="K31" s="18"/>
      <c r="L31" s="18"/>
    </row>
    <row r="32" spans="1:12" ht="15.6" x14ac:dyDescent="0.3">
      <c r="A32" s="33" t="s">
        <v>131</v>
      </c>
      <c r="B32" s="72"/>
      <c r="C32" s="60">
        <f>SUM(C26:C31)</f>
        <v>26734.648000000005</v>
      </c>
      <c r="D32" s="60">
        <f>SUM(D26:D31)</f>
        <v>411.05933595808204</v>
      </c>
      <c r="E32" s="60">
        <f>B26+C32+D32</f>
        <v>27487.043335958086</v>
      </c>
      <c r="F32" s="60"/>
      <c r="G32" s="60">
        <f>SUM(G26:G31)</f>
        <v>19138.87403597734</v>
      </c>
      <c r="H32" s="60">
        <f>SUM(H26:H31)</f>
        <v>7900.4292999807421</v>
      </c>
      <c r="I32" s="60">
        <f>SUM(I26:I31)</f>
        <v>27039.303335958088</v>
      </c>
      <c r="J32" s="60"/>
      <c r="K32" s="18"/>
      <c r="L32" s="18"/>
    </row>
    <row r="33" spans="1:12" ht="16.8" x14ac:dyDescent="0.3">
      <c r="A33" s="73" t="s">
        <v>123</v>
      </c>
      <c r="B33" s="34"/>
      <c r="C33" s="34"/>
      <c r="D33" s="34"/>
      <c r="E33" s="34"/>
      <c r="F33" s="34"/>
      <c r="G33" s="34"/>
      <c r="H33" s="34"/>
      <c r="I33" s="34"/>
      <c r="J33" s="34"/>
      <c r="K33" s="18"/>
      <c r="L33" s="18"/>
    </row>
    <row r="34" spans="1:12" ht="15.6" x14ac:dyDescent="0.3">
      <c r="A34" s="34" t="s">
        <v>96</v>
      </c>
      <c r="B34" s="34"/>
      <c r="C34" s="34"/>
      <c r="D34" s="34"/>
      <c r="E34" s="34"/>
      <c r="F34" s="34"/>
      <c r="G34" s="34"/>
      <c r="H34" s="34"/>
      <c r="I34" s="34"/>
      <c r="J34" s="34"/>
      <c r="K34" s="18"/>
      <c r="L34" s="18"/>
    </row>
    <row r="35" spans="1:12" ht="15.6" x14ac:dyDescent="0.3">
      <c r="A35" s="38" t="s">
        <v>18</v>
      </c>
      <c r="B35" s="65">
        <f ca="1">NOW()</f>
        <v>44341.37117604167</v>
      </c>
      <c r="C35" s="54"/>
      <c r="D35" s="50"/>
      <c r="E35" s="50"/>
      <c r="F35" s="50"/>
      <c r="G35" s="50"/>
      <c r="H35" s="50"/>
      <c r="I35" s="50"/>
      <c r="J35" s="50"/>
      <c r="K35" s="18"/>
      <c r="L35" s="18"/>
    </row>
    <row r="36" spans="1:12" ht="15.6" x14ac:dyDescent="0.3">
      <c r="A36" s="1"/>
      <c r="B36" s="3"/>
      <c r="C36" s="4"/>
      <c r="D36" s="3"/>
      <c r="E36" s="3"/>
      <c r="F36" s="3"/>
      <c r="G36" s="3"/>
      <c r="H36" s="5"/>
      <c r="I36" s="3"/>
      <c r="J36" s="3"/>
      <c r="K36" s="18"/>
      <c r="L36" s="18"/>
    </row>
    <row r="37" spans="1:12" ht="15.6" x14ac:dyDescent="0.3">
      <c r="A37" s="1"/>
      <c r="B37" s="3"/>
      <c r="C37" s="3"/>
      <c r="D37" s="3"/>
      <c r="E37" s="3"/>
      <c r="F37" s="3"/>
      <c r="G37" s="3"/>
      <c r="H37" s="3"/>
      <c r="I37" s="3"/>
      <c r="J37" s="3"/>
      <c r="K37" s="18"/>
      <c r="L37" s="18"/>
    </row>
    <row r="38" spans="1:12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8"/>
      <c r="L38" s="18"/>
    </row>
    <row r="39" spans="1:12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8"/>
      <c r="L39" s="18"/>
    </row>
    <row r="40" spans="1:12" ht="15.6" x14ac:dyDescent="0.3">
      <c r="K40" s="18"/>
      <c r="L40" s="18"/>
    </row>
    <row r="41" spans="1:12" ht="15.6" x14ac:dyDescent="0.3">
      <c r="K41" s="18"/>
      <c r="L41" s="18"/>
    </row>
  </sheetData>
  <mergeCells count="3">
    <mergeCell ref="G2:I2"/>
    <mergeCell ref="B5:J5"/>
    <mergeCell ref="B2:E2"/>
  </mergeCells>
  <phoneticPr fontId="5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Q35"/>
  <sheetViews>
    <sheetView showGridLines="0" topLeftCell="A8" zoomScaleNormal="100" workbookViewId="0">
      <selection activeCell="A34" sqref="A34"/>
    </sheetView>
  </sheetViews>
  <sheetFormatPr defaultRowHeight="13.2" x14ac:dyDescent="0.25"/>
  <cols>
    <col min="1" max="1" width="14.5546875" customWidth="1"/>
    <col min="2" max="2" width="11.77734375" customWidth="1"/>
    <col min="3" max="3" width="10.77734375" customWidth="1"/>
    <col min="4" max="4" width="9.5546875" bestFit="1" customWidth="1"/>
    <col min="5" max="5" width="11.21875" bestFit="1" customWidth="1"/>
    <col min="6" max="6" width="3.77734375" customWidth="1"/>
    <col min="7" max="7" width="10.77734375" bestFit="1" customWidth="1"/>
    <col min="8" max="8" width="10.77734375" customWidth="1"/>
    <col min="9" max="9" width="12.77734375" customWidth="1"/>
    <col min="10" max="10" width="9.77734375" customWidth="1"/>
    <col min="11" max="11" width="10.77734375" customWidth="1"/>
    <col min="12" max="12" width="10.21875" bestFit="1" customWidth="1"/>
    <col min="14" max="14" width="9.21875" bestFit="1" customWidth="1"/>
  </cols>
  <sheetData>
    <row r="1" spans="1:17" ht="13.8" x14ac:dyDescent="0.25">
      <c r="A1" s="33" t="s">
        <v>144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7" ht="13.8" x14ac:dyDescent="0.25">
      <c r="A2" s="34"/>
      <c r="B2" s="177" t="s">
        <v>0</v>
      </c>
      <c r="C2" s="177"/>
      <c r="D2" s="177"/>
      <c r="E2" s="177"/>
      <c r="F2" s="37"/>
      <c r="G2" s="177" t="s">
        <v>17</v>
      </c>
      <c r="H2" s="177"/>
      <c r="I2" s="177"/>
      <c r="J2" s="35"/>
      <c r="K2" s="35"/>
      <c r="L2" s="34"/>
    </row>
    <row r="3" spans="1:17" ht="13.8" x14ac:dyDescent="0.25">
      <c r="A3" s="34" t="s">
        <v>64</v>
      </c>
      <c r="B3" s="36" t="s">
        <v>28</v>
      </c>
      <c r="C3" s="74" t="s">
        <v>1</v>
      </c>
      <c r="D3" s="74" t="s">
        <v>29</v>
      </c>
      <c r="E3" s="74" t="s">
        <v>24</v>
      </c>
      <c r="F3" s="74"/>
      <c r="G3" s="35" t="s">
        <v>27</v>
      </c>
      <c r="H3" s="35"/>
      <c r="I3" s="35"/>
      <c r="J3" s="74" t="s">
        <v>31</v>
      </c>
      <c r="K3" s="74" t="s">
        <v>24</v>
      </c>
      <c r="L3" s="74" t="s">
        <v>26</v>
      </c>
    </row>
    <row r="4" spans="1:17" ht="16.2" x14ac:dyDescent="0.25">
      <c r="A4" s="39" t="s">
        <v>65</v>
      </c>
      <c r="B4" s="41" t="s">
        <v>25</v>
      </c>
      <c r="C4" s="42"/>
      <c r="D4" s="42"/>
      <c r="E4" s="42"/>
      <c r="F4" s="42"/>
      <c r="G4" s="41" t="s">
        <v>3</v>
      </c>
      <c r="H4" s="41" t="s">
        <v>181</v>
      </c>
      <c r="I4" s="41" t="s">
        <v>92</v>
      </c>
      <c r="J4" s="42"/>
      <c r="K4" s="42"/>
      <c r="L4" s="74" t="s">
        <v>74</v>
      </c>
    </row>
    <row r="5" spans="1:17" ht="14.4" x14ac:dyDescent="0.3">
      <c r="A5" s="34"/>
      <c r="B5" s="179" t="s">
        <v>83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7" ht="13.8" x14ac:dyDescent="0.25">
      <c r="A6" s="34" t="s">
        <v>121</v>
      </c>
      <c r="B6" s="68">
        <v>1775.316</v>
      </c>
      <c r="C6" s="68">
        <v>24911.604000000003</v>
      </c>
      <c r="D6" s="68">
        <v>319.33808794654203</v>
      </c>
      <c r="E6" s="68">
        <v>27006.258087946542</v>
      </c>
      <c r="F6" s="68"/>
      <c r="G6" s="68">
        <v>22314.872644261599</v>
      </c>
      <c r="H6" s="48">
        <v>8658</v>
      </c>
      <c r="I6" s="48">
        <v>13656</v>
      </c>
      <c r="J6" s="68">
        <v>2838.855443684904</v>
      </c>
      <c r="K6" s="68">
        <v>25153.728087946503</v>
      </c>
      <c r="L6" s="68">
        <v>1852.5300000000389</v>
      </c>
      <c r="M6" s="17"/>
    </row>
    <row r="7" spans="1:17" ht="16.2" x14ac:dyDescent="0.25">
      <c r="A7" s="34" t="s">
        <v>124</v>
      </c>
      <c r="B7" s="68">
        <v>1853</v>
      </c>
      <c r="C7" s="68">
        <v>25515</v>
      </c>
      <c r="D7" s="68">
        <v>350</v>
      </c>
      <c r="E7" s="68">
        <f>SUM(B7:D7)</f>
        <v>27718</v>
      </c>
      <c r="F7" s="68"/>
      <c r="G7" s="68">
        <f>K7-J7</f>
        <v>23600</v>
      </c>
      <c r="H7" s="48">
        <v>9500</v>
      </c>
      <c r="I7" s="48">
        <v>14100</v>
      </c>
      <c r="J7" s="68">
        <v>2300</v>
      </c>
      <c r="K7" s="68">
        <f>E7-L7</f>
        <v>25900</v>
      </c>
      <c r="L7" s="68">
        <v>1818</v>
      </c>
      <c r="M7" s="17"/>
    </row>
    <row r="8" spans="1:17" ht="16.2" x14ac:dyDescent="0.25">
      <c r="A8" s="34" t="s">
        <v>165</v>
      </c>
      <c r="B8" s="68">
        <v>1818</v>
      </c>
      <c r="C8" s="68">
        <v>25945</v>
      </c>
      <c r="D8" s="68">
        <v>600</v>
      </c>
      <c r="E8" s="68">
        <f>SUM(B8:D8)</f>
        <v>28363</v>
      </c>
      <c r="F8" s="68"/>
      <c r="G8" s="68">
        <f>K8-J8</f>
        <v>25400</v>
      </c>
      <c r="H8" s="48">
        <v>12000</v>
      </c>
      <c r="I8" s="48">
        <v>13400</v>
      </c>
      <c r="J8" s="68">
        <v>1450</v>
      </c>
      <c r="K8" s="68">
        <f>E8-L8</f>
        <v>26850</v>
      </c>
      <c r="L8" s="68">
        <v>1513</v>
      </c>
      <c r="M8" s="17"/>
    </row>
    <row r="9" spans="1:17" ht="13.8" x14ac:dyDescent="0.25">
      <c r="A9" s="34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17"/>
    </row>
    <row r="10" spans="1:17" ht="13.8" x14ac:dyDescent="0.25">
      <c r="A10" s="170" t="s">
        <v>121</v>
      </c>
      <c r="B10" s="127"/>
      <c r="C10" s="55"/>
      <c r="D10" s="55"/>
      <c r="E10" s="55"/>
      <c r="F10" s="69"/>
      <c r="G10" s="55"/>
      <c r="H10" s="55"/>
      <c r="I10" s="55"/>
      <c r="J10" s="55"/>
      <c r="K10" s="55"/>
      <c r="L10" s="69"/>
    </row>
    <row r="11" spans="1:17" ht="13.8" x14ac:dyDescent="0.25">
      <c r="A11" s="37" t="s">
        <v>45</v>
      </c>
      <c r="B11" s="69">
        <f>1400.569+374.747</f>
        <v>1775.316</v>
      </c>
      <c r="C11" s="55">
        <v>2149.9690000000001</v>
      </c>
      <c r="D11" s="69">
        <f>(0.907155+0+12.884502+0.018812)*2.204622</f>
        <v>30.446863787718002</v>
      </c>
      <c r="E11" s="55">
        <f t="shared" ref="E11:E18" si="0">SUM(B11:D11)</f>
        <v>3955.7318637877179</v>
      </c>
      <c r="F11" s="69"/>
      <c r="G11" s="69">
        <f t="shared" ref="G11:G22" si="1">K11-J11</f>
        <v>1882.0904430526298</v>
      </c>
      <c r="H11" s="55">
        <f>9500/12</f>
        <v>791.66666666666663</v>
      </c>
      <c r="I11" s="55">
        <f t="shared" ref="I11:I22" si="2">G11-H11</f>
        <v>1090.4237763859633</v>
      </c>
      <c r="J11" s="55">
        <f>(101.953963+0.105555+12.281521+0.274265)*2.204622</f>
        <v>252.68342073508799</v>
      </c>
      <c r="K11" s="55">
        <f t="shared" ref="K11:K22" si="3">E11-L11</f>
        <v>2134.7738637877178</v>
      </c>
      <c r="L11" s="69">
        <f>1471.929+349.029</f>
        <v>1820.9580000000001</v>
      </c>
      <c r="M11" s="128"/>
    </row>
    <row r="12" spans="1:17" ht="13.8" x14ac:dyDescent="0.25">
      <c r="A12" s="37" t="s">
        <v>46</v>
      </c>
      <c r="B12" s="69">
        <f t="shared" ref="B12:B22" si="4">L11</f>
        <v>1820.9580000000001</v>
      </c>
      <c r="C12" s="55">
        <v>1999.6479999999999</v>
      </c>
      <c r="D12" s="69">
        <f>(0.913381+0.102526+10.043143+0.035035)*2.204622</f>
        <v>24.458263860870005</v>
      </c>
      <c r="E12" s="55">
        <f t="shared" si="0"/>
        <v>3845.0642638608697</v>
      </c>
      <c r="F12" s="69"/>
      <c r="G12" s="69">
        <f t="shared" si="1"/>
        <v>1706.9694769206637</v>
      </c>
      <c r="H12" s="55">
        <f t="shared" ref="H12:H22" si="5">9500/12</f>
        <v>791.66666666666663</v>
      </c>
      <c r="I12" s="55">
        <f t="shared" si="2"/>
        <v>915.30281025399711</v>
      </c>
      <c r="J12" s="55">
        <f>(98.252267+0.168085+18.257272+0.229849)*2.204622</f>
        <v>257.73678694020606</v>
      </c>
      <c r="K12" s="55">
        <f t="shared" si="3"/>
        <v>1964.7062638608697</v>
      </c>
      <c r="L12" s="69">
        <f>1522.923+357.435</f>
        <v>1880.3579999999999</v>
      </c>
      <c r="M12" s="128"/>
    </row>
    <row r="13" spans="1:17" ht="13.8" x14ac:dyDescent="0.25">
      <c r="A13" s="37" t="s">
        <v>47</v>
      </c>
      <c r="B13" s="69">
        <f t="shared" si="4"/>
        <v>1880.3579999999999</v>
      </c>
      <c r="C13" s="55">
        <v>2110.9360000000001</v>
      </c>
      <c r="D13" s="69">
        <f>(1.517194+0.111025+14.403726+0)*2.204622</f>
        <v>35.344378649790002</v>
      </c>
      <c r="E13" s="55">
        <f t="shared" si="0"/>
        <v>4026.63837864979</v>
      </c>
      <c r="F13" s="69"/>
      <c r="G13" s="69">
        <f t="shared" si="1"/>
        <v>1708.2900719668521</v>
      </c>
      <c r="H13" s="55">
        <f t="shared" si="5"/>
        <v>791.66666666666663</v>
      </c>
      <c r="I13" s="55">
        <f t="shared" si="2"/>
        <v>916.62340530018548</v>
      </c>
      <c r="J13" s="55">
        <f>(63.337525+0.026618+20.056471+0.169365)*2.204622</f>
        <v>184.28430668293799</v>
      </c>
      <c r="K13" s="55">
        <f t="shared" si="3"/>
        <v>1892.5743786497901</v>
      </c>
      <c r="L13" s="69">
        <f>1749.423+384.641</f>
        <v>2134.0639999999999</v>
      </c>
      <c r="M13" s="128"/>
      <c r="Q13" s="128"/>
    </row>
    <row r="14" spans="1:17" ht="13.8" x14ac:dyDescent="0.25">
      <c r="A14" s="37" t="s">
        <v>48</v>
      </c>
      <c r="B14" s="69">
        <f t="shared" si="4"/>
        <v>2134.0639999999999</v>
      </c>
      <c r="C14" s="55">
        <v>2154.4270000000001</v>
      </c>
      <c r="D14" s="69">
        <f>(2.126531+0.443575+12.214776+0)*2.204622</f>
        <v>32.595076124603999</v>
      </c>
      <c r="E14" s="55">
        <f t="shared" si="0"/>
        <v>4321.086076124604</v>
      </c>
      <c r="F14" s="69"/>
      <c r="G14" s="69">
        <f t="shared" si="1"/>
        <v>1844.199548509308</v>
      </c>
      <c r="H14" s="55">
        <f t="shared" si="5"/>
        <v>791.66666666666663</v>
      </c>
      <c r="I14" s="55">
        <f t="shared" si="2"/>
        <v>1052.5328818426415</v>
      </c>
      <c r="J14" s="55">
        <f>(44.792336+0.117811+11.595679+0.239742)*2.204622</f>
        <v>125.102527615296</v>
      </c>
      <c r="K14" s="55">
        <f t="shared" si="3"/>
        <v>1969.3020761246039</v>
      </c>
      <c r="L14" s="69">
        <f>1989.164+362.62</f>
        <v>2351.7840000000001</v>
      </c>
      <c r="M14" s="128"/>
    </row>
    <row r="15" spans="1:17" ht="13.8" x14ac:dyDescent="0.25">
      <c r="A15" s="37" t="s">
        <v>49</v>
      </c>
      <c r="B15" s="69">
        <f t="shared" si="4"/>
        <v>2351.7840000000001</v>
      </c>
      <c r="C15" s="55">
        <v>1999.5239999999999</v>
      </c>
      <c r="D15" s="69">
        <f>(2.359956+0.08919+10.275538+0)*2.204622</f>
        <v>28.053118289448001</v>
      </c>
      <c r="E15" s="55">
        <f t="shared" si="0"/>
        <v>4379.3611182894483</v>
      </c>
      <c r="F15" s="69"/>
      <c r="G15" s="69">
        <f t="shared" si="1"/>
        <v>1605.6683977361104</v>
      </c>
      <c r="H15" s="55">
        <f t="shared" si="5"/>
        <v>791.66666666666663</v>
      </c>
      <c r="I15" s="55">
        <f t="shared" si="2"/>
        <v>814.00173106944374</v>
      </c>
      <c r="J15" s="55">
        <f>(163.046872+0.108209+16.27962+0.298478)*2.204622</f>
        <v>396.24372055333799</v>
      </c>
      <c r="K15" s="55">
        <f t="shared" si="3"/>
        <v>2001.9121182894482</v>
      </c>
      <c r="L15" s="69">
        <f>1996.747+380.702</f>
        <v>2377.4490000000001</v>
      </c>
      <c r="M15" s="128"/>
    </row>
    <row r="16" spans="1:17" ht="13.8" x14ac:dyDescent="0.25">
      <c r="A16" s="37" t="s">
        <v>50</v>
      </c>
      <c r="B16" s="69">
        <f t="shared" si="4"/>
        <v>2377.4490000000001</v>
      </c>
      <c r="C16" s="55">
        <v>2201.0680000000002</v>
      </c>
      <c r="D16" s="69">
        <f>(1.501862+0.001651+9.293142+0)*2.204622</f>
        <v>23.802543139409998</v>
      </c>
      <c r="E16" s="55">
        <f t="shared" si="0"/>
        <v>4602.3195431394097</v>
      </c>
      <c r="F16" s="69"/>
      <c r="G16" s="69">
        <f t="shared" si="1"/>
        <v>1953.9599288879958</v>
      </c>
      <c r="H16" s="55">
        <f t="shared" si="5"/>
        <v>791.66666666666663</v>
      </c>
      <c r="I16" s="55">
        <f t="shared" si="2"/>
        <v>1162.2932622213293</v>
      </c>
      <c r="J16" s="55">
        <f>(130.361496+0.283982+14.394011+0.458748)*2.204622</f>
        <v>320.76861425141408</v>
      </c>
      <c r="K16" s="55">
        <f t="shared" si="3"/>
        <v>2274.7285431394098</v>
      </c>
      <c r="L16" s="69">
        <f>1933.648+393.943</f>
        <v>2327.5909999999999</v>
      </c>
      <c r="M16" s="128"/>
    </row>
    <row r="17" spans="1:15" ht="13.8" x14ac:dyDescent="0.25">
      <c r="A17" s="37" t="s">
        <v>51</v>
      </c>
      <c r="B17" s="69">
        <f t="shared" si="4"/>
        <v>2327.5909999999999</v>
      </c>
      <c r="C17" s="55">
        <v>2099.4650000000001</v>
      </c>
      <c r="D17" s="69">
        <f>(5.945476+0+5.110422+0)*2.204622</f>
        <v>24.374075960555999</v>
      </c>
      <c r="E17" s="55">
        <f t="shared" si="0"/>
        <v>4451.4300759605567</v>
      </c>
      <c r="F17" s="69"/>
      <c r="G17" s="69">
        <f t="shared" si="1"/>
        <v>1619.2606368912866</v>
      </c>
      <c r="H17" s="55">
        <f t="shared" si="5"/>
        <v>791.66666666666663</v>
      </c>
      <c r="I17" s="55">
        <f t="shared" si="2"/>
        <v>827.59397022461997</v>
      </c>
      <c r="J17" s="55">
        <f>(87.695281+3.66505+12.806232+0.249722)*2.204622</f>
        <v>230.19843906926999</v>
      </c>
      <c r="K17" s="55">
        <f t="shared" si="3"/>
        <v>1849.4590759605567</v>
      </c>
      <c r="L17" s="69">
        <f>2224.007+377.964</f>
        <v>2601.971</v>
      </c>
      <c r="M17" s="128"/>
    </row>
    <row r="18" spans="1:15" ht="13.8" x14ac:dyDescent="0.25">
      <c r="A18" s="37" t="s">
        <v>52</v>
      </c>
      <c r="B18" s="69">
        <f t="shared" si="4"/>
        <v>2601.971</v>
      </c>
      <c r="C18" s="55">
        <v>2057.6170000000002</v>
      </c>
      <c r="D18" s="69">
        <f>(3.133764+0+7.887634+0)*2.204622</f>
        <v>24.298016501556003</v>
      </c>
      <c r="E18" s="55">
        <f t="shared" si="0"/>
        <v>4683.8860165015558</v>
      </c>
      <c r="F18" s="69"/>
      <c r="G18" s="69">
        <f t="shared" si="1"/>
        <v>1878.8671831303036</v>
      </c>
      <c r="H18" s="55">
        <f t="shared" si="5"/>
        <v>791.66666666666663</v>
      </c>
      <c r="I18" s="55">
        <f t="shared" si="2"/>
        <v>1087.2005164636371</v>
      </c>
      <c r="J18" s="55">
        <f>(146.2828+1.013597+14.669532+0.316237)*2.204622</f>
        <v>357.77083337125202</v>
      </c>
      <c r="K18" s="55">
        <f t="shared" si="3"/>
        <v>2236.6380165015557</v>
      </c>
      <c r="L18" s="69">
        <f>2048.992+398.256</f>
        <v>2447.248</v>
      </c>
      <c r="M18" s="69"/>
    </row>
    <row r="19" spans="1:15" ht="13.8" x14ac:dyDescent="0.25">
      <c r="A19" s="37" t="s">
        <v>53</v>
      </c>
      <c r="B19" s="69">
        <f t="shared" si="4"/>
        <v>2447.248</v>
      </c>
      <c r="C19" s="55">
        <v>2035.269</v>
      </c>
      <c r="D19" s="69">
        <f>(2.511371+0+8.915069+0)*2.204622</f>
        <v>25.190981005680005</v>
      </c>
      <c r="E19" s="55">
        <f>SUM(B19:D19)</f>
        <v>4507.7079810056803</v>
      </c>
      <c r="F19" s="69"/>
      <c r="G19" s="69">
        <f t="shared" si="1"/>
        <v>2069.3751779943923</v>
      </c>
      <c r="H19" s="55">
        <f t="shared" si="5"/>
        <v>791.66666666666663</v>
      </c>
      <c r="I19" s="55">
        <f t="shared" si="2"/>
        <v>1277.7085113277258</v>
      </c>
      <c r="J19" s="55">
        <f>(64.082208+0.046033+11.538218+0.385945)*2.204622</f>
        <v>167.66680301128801</v>
      </c>
      <c r="K19" s="55">
        <f t="shared" si="3"/>
        <v>2237.0419810056801</v>
      </c>
      <c r="L19" s="69">
        <f>1925.583+345.083</f>
        <v>2270.6660000000002</v>
      </c>
      <c r="M19" s="128"/>
    </row>
    <row r="20" spans="1:15" ht="13.8" x14ac:dyDescent="0.25">
      <c r="A20" s="37" t="s">
        <v>55</v>
      </c>
      <c r="B20" s="69">
        <f t="shared" si="4"/>
        <v>2270.6660000000002</v>
      </c>
      <c r="C20" s="55">
        <v>2123.2370000000001</v>
      </c>
      <c r="D20" s="69">
        <f>(1.437321+0+11.120338+0)*2.204622</f>
        <v>27.684891299898002</v>
      </c>
      <c r="E20" s="55">
        <f>SUM(B20:D20)</f>
        <v>4421.5878912998978</v>
      </c>
      <c r="F20" s="69"/>
      <c r="G20" s="69">
        <f t="shared" si="1"/>
        <v>2133.8783126502199</v>
      </c>
      <c r="H20" s="55">
        <f t="shared" si="5"/>
        <v>791.66666666666663</v>
      </c>
      <c r="I20" s="55">
        <f t="shared" si="2"/>
        <v>1342.2116459835534</v>
      </c>
      <c r="J20" s="55">
        <f>(64.323622+0.065902+10.076311+0.209814)*2.204622</f>
        <v>164.63157864967798</v>
      </c>
      <c r="K20" s="55">
        <f t="shared" si="3"/>
        <v>2298.5098912998978</v>
      </c>
      <c r="L20" s="69">
        <f>1776.314+346.764</f>
        <v>2123.078</v>
      </c>
      <c r="M20" s="128"/>
    </row>
    <row r="21" spans="1:15" ht="13.8" x14ac:dyDescent="0.25">
      <c r="A21" s="37" t="s">
        <v>56</v>
      </c>
      <c r="B21" s="69">
        <f t="shared" si="4"/>
        <v>2123.078</v>
      </c>
      <c r="C21" s="55">
        <v>2012.8230000000001</v>
      </c>
      <c r="D21" s="69">
        <f>(0.780729+0.049783+9.307564+0)*2.204622</f>
        <v>22.350625387272</v>
      </c>
      <c r="E21" s="55">
        <f>SUM(B21:D21)</f>
        <v>4158.2516253872718</v>
      </c>
      <c r="F21" s="69"/>
      <c r="G21" s="69">
        <f t="shared" si="1"/>
        <v>2014.6131086572618</v>
      </c>
      <c r="H21" s="55">
        <f t="shared" si="5"/>
        <v>791.66666666666663</v>
      </c>
      <c r="I21" s="55">
        <f t="shared" si="2"/>
        <v>1222.9464419905953</v>
      </c>
      <c r="J21" s="55">
        <f>(76.647872+0.035441+14.584342+0.2113)*2.204622</f>
        <v>201.67651673001004</v>
      </c>
      <c r="K21" s="55">
        <f t="shared" si="3"/>
        <v>2216.2896253872718</v>
      </c>
      <c r="L21" s="69">
        <f>1572.483+369.479</f>
        <v>1941.962</v>
      </c>
      <c r="M21" s="128"/>
    </row>
    <row r="22" spans="1:15" ht="13.8" x14ac:dyDescent="0.25">
      <c r="A22" s="37" t="s">
        <v>58</v>
      </c>
      <c r="B22" s="69">
        <f t="shared" si="4"/>
        <v>1941.962</v>
      </c>
      <c r="C22" s="55">
        <v>1967.6210000000001</v>
      </c>
      <c r="D22" s="69">
        <f>(1.370358+0+8.036812+0)*2.204622</f>
        <v>20.739253939739999</v>
      </c>
      <c r="E22" s="55">
        <f>SUM(B22:D22)</f>
        <v>3930.3222539397402</v>
      </c>
      <c r="F22" s="69"/>
      <c r="G22" s="69">
        <f t="shared" si="1"/>
        <v>1897.7003578645754</v>
      </c>
      <c r="H22" s="55">
        <f t="shared" si="5"/>
        <v>791.66666666666663</v>
      </c>
      <c r="I22" s="55">
        <f t="shared" si="2"/>
        <v>1106.0336911979089</v>
      </c>
      <c r="J22" s="55">
        <f>(68.72055+0.115908+12.442878+0.408997)*2.204622</f>
        <v>180.09189607512602</v>
      </c>
      <c r="K22" s="55">
        <f t="shared" si="3"/>
        <v>2077.7922539397014</v>
      </c>
      <c r="L22" s="69">
        <f>E23-K23</f>
        <v>1852.5300000000389</v>
      </c>
      <c r="M22" s="128"/>
      <c r="O22" s="128"/>
    </row>
    <row r="23" spans="1:15" ht="13.8" x14ac:dyDescent="0.25">
      <c r="A23" s="37" t="s">
        <v>3</v>
      </c>
      <c r="B23" s="69"/>
      <c r="C23" s="55">
        <f>SUM(C11:C22)</f>
        <v>24911.604000000003</v>
      </c>
      <c r="D23" s="69">
        <f>SUM(D11:D22)</f>
        <v>319.33808794654203</v>
      </c>
      <c r="E23" s="55">
        <f>B11+C23+D23</f>
        <v>27006.258087946542</v>
      </c>
      <c r="F23" s="69"/>
      <c r="G23" s="69">
        <v>22314.872644261599</v>
      </c>
      <c r="H23" s="55">
        <f>SUM(H11:H22)</f>
        <v>9500</v>
      </c>
      <c r="I23" s="55">
        <v>14456</v>
      </c>
      <c r="J23" s="55">
        <f>SUM(J11:J22)</f>
        <v>2838.855443684904</v>
      </c>
      <c r="K23" s="55">
        <f>G23+J23</f>
        <v>25153.728087946503</v>
      </c>
      <c r="L23" s="69"/>
      <c r="M23" s="128"/>
    </row>
    <row r="24" spans="1:15" ht="13.8" x14ac:dyDescent="0.25">
      <c r="A24" s="37"/>
      <c r="B24" s="127"/>
      <c r="C24" s="55"/>
      <c r="D24" s="55"/>
      <c r="E24" s="55"/>
      <c r="F24" s="69"/>
      <c r="G24" s="55"/>
      <c r="H24" s="55"/>
      <c r="I24" s="55"/>
      <c r="J24" s="55"/>
      <c r="K24" s="55"/>
      <c r="L24" s="69"/>
    </row>
    <row r="25" spans="1:15" ht="13.8" x14ac:dyDescent="0.25">
      <c r="A25" s="170" t="s">
        <v>130</v>
      </c>
      <c r="B25" s="127"/>
      <c r="C25" s="55"/>
      <c r="D25" s="55"/>
      <c r="E25" s="55"/>
      <c r="F25" s="69"/>
      <c r="G25" s="55"/>
      <c r="H25" s="55"/>
      <c r="I25" s="55"/>
      <c r="J25" s="55"/>
      <c r="K25" s="55"/>
      <c r="L25" s="69"/>
    </row>
    <row r="26" spans="1:15" ht="13.8" x14ac:dyDescent="0.25">
      <c r="A26" s="37" t="s">
        <v>45</v>
      </c>
      <c r="B26" s="69">
        <f>L22</f>
        <v>1852.5300000000389</v>
      </c>
      <c r="C26" s="55">
        <v>2282.471</v>
      </c>
      <c r="D26" s="69">
        <f>(1.015586+0.000563+8.263561+0)*2.204622</f>
        <v>20.45825281962</v>
      </c>
      <c r="E26" s="55">
        <f t="shared" ref="E26:E31" si="6">SUM(B26:D26)</f>
        <v>4155.4592528196581</v>
      </c>
      <c r="F26" s="69"/>
      <c r="G26" s="69">
        <f t="shared" ref="G26:G31" si="7">K26-J26</f>
        <v>2007.5441440301681</v>
      </c>
      <c r="H26" s="55">
        <v>1196.1111111111111</v>
      </c>
      <c r="I26" s="55">
        <f>G26-H26</f>
        <v>811.43303291905704</v>
      </c>
      <c r="J26" s="55">
        <f>(63.536922+0.093835+19.218456+0.634082)*2.204622</f>
        <v>184.04910878948999</v>
      </c>
      <c r="K26" s="55">
        <f t="shared" ref="K26:K31" si="8">E26-L26</f>
        <v>2191.5932528196581</v>
      </c>
      <c r="L26" s="69">
        <f>1564.319+399.547</f>
        <v>1963.866</v>
      </c>
      <c r="M26" s="128"/>
    </row>
    <row r="27" spans="1:15" ht="13.8" x14ac:dyDescent="0.25">
      <c r="A27" s="37" t="s">
        <v>46</v>
      </c>
      <c r="B27" s="69">
        <f>L26</f>
        <v>1963.866</v>
      </c>
      <c r="C27" s="55">
        <v>2206.7919999999999</v>
      </c>
      <c r="D27" s="69">
        <f>(1.296231+0+8.287878+0)*2.204622</f>
        <v>21.129337551797999</v>
      </c>
      <c r="E27" s="55">
        <f t="shared" si="6"/>
        <v>4191.7873375517975</v>
      </c>
      <c r="F27" s="69"/>
      <c r="G27" s="69">
        <f t="shared" si="7"/>
        <v>1896.8493977333474</v>
      </c>
      <c r="H27" s="55">
        <v>1196.1111111111111</v>
      </c>
      <c r="I27" s="55">
        <f>G27-H27</f>
        <v>700.73828662223627</v>
      </c>
      <c r="J27" s="55">
        <f>(64.90939+0.033439+14.406644+1.047502)*2.204622</f>
        <v>177.24493981845001</v>
      </c>
      <c r="K27" s="55">
        <f t="shared" si="8"/>
        <v>2074.0943375517973</v>
      </c>
      <c r="L27" s="69">
        <f>1685.131+432.562</f>
        <v>2117.6930000000002</v>
      </c>
      <c r="M27" s="128"/>
    </row>
    <row r="28" spans="1:15" ht="13.8" x14ac:dyDescent="0.25">
      <c r="A28" s="37" t="s">
        <v>47</v>
      </c>
      <c r="B28" s="69">
        <f>L27</f>
        <v>2117.6930000000002</v>
      </c>
      <c r="C28" s="55">
        <v>2231.7179999999998</v>
      </c>
      <c r="D28" s="69">
        <f>(0.835948+0+10.618288+0)*2.204622</f>
        <v>25.252260678792002</v>
      </c>
      <c r="E28" s="55">
        <f t="shared" si="6"/>
        <v>4374.6632606787916</v>
      </c>
      <c r="F28" s="69"/>
      <c r="G28" s="69">
        <f t="shared" si="7"/>
        <v>1920.8530003162596</v>
      </c>
      <c r="H28" s="55">
        <v>1196.1111111111111</v>
      </c>
      <c r="I28" s="55">
        <f>G28-H28</f>
        <v>724.74188920514848</v>
      </c>
      <c r="J28" s="55">
        <f>(94.061165+0.110508+12.101682+0.340051)*2.204622</f>
        <v>235.04226036253201</v>
      </c>
      <c r="K28" s="55">
        <f t="shared" si="8"/>
        <v>2155.8952606787916</v>
      </c>
      <c r="L28" s="69">
        <f>1808.138+410.63</f>
        <v>2218.768</v>
      </c>
      <c r="M28" s="128"/>
    </row>
    <row r="29" spans="1:15" ht="13.8" x14ac:dyDescent="0.25">
      <c r="A29" s="37" t="s">
        <v>48</v>
      </c>
      <c r="B29" s="69">
        <f>L28</f>
        <v>2218.768</v>
      </c>
      <c r="C29" s="55">
        <v>2308.752</v>
      </c>
      <c r="D29" s="137">
        <f>(0.0245+7.4638+1.0907+0.0333)*2.204622</f>
        <v>18.986866050600003</v>
      </c>
      <c r="E29" s="138">
        <f t="shared" si="6"/>
        <v>4546.5068660506004</v>
      </c>
      <c r="F29" s="137"/>
      <c r="G29" s="137">
        <f t="shared" si="7"/>
        <v>1912.6850472554004</v>
      </c>
      <c r="H29" s="138">
        <v>683</v>
      </c>
      <c r="I29" s="55">
        <f>G29-H29</f>
        <v>1229.6850472554004</v>
      </c>
      <c r="J29" s="138">
        <f>(0.2616+135.8253+12.5697+0.045)*2.204622</f>
        <v>327.8308187952</v>
      </c>
      <c r="K29" s="138">
        <f t="shared" si="8"/>
        <v>2240.5158660506004</v>
      </c>
      <c r="L29" s="137">
        <f>1882.069+423.922</f>
        <v>2305.991</v>
      </c>
      <c r="M29" s="128"/>
    </row>
    <row r="30" spans="1:15" ht="13.8" x14ac:dyDescent="0.25">
      <c r="A30" s="37" t="s">
        <v>49</v>
      </c>
      <c r="B30" s="69">
        <f>L29</f>
        <v>2305.991</v>
      </c>
      <c r="C30" s="55">
        <v>1929.799</v>
      </c>
      <c r="D30" s="137">
        <f>(0.0245+1.0033+8.7038)*2.204622</f>
        <v>21.454499455200001</v>
      </c>
      <c r="E30" s="138">
        <f t="shared" si="6"/>
        <v>4257.2444994551997</v>
      </c>
      <c r="F30" s="137"/>
      <c r="G30" s="137">
        <f t="shared" si="7"/>
        <v>1695.2696819337993</v>
      </c>
      <c r="H30" s="138">
        <v>552</v>
      </c>
      <c r="I30" s="55">
        <f>G30-H30</f>
        <v>1143.2696819337993</v>
      </c>
      <c r="J30" s="138">
        <f>(0.3856+103.5968+12.0779+0.0534)*2.204622</f>
        <v>255.98681752139998</v>
      </c>
      <c r="K30" s="138">
        <f t="shared" si="8"/>
        <v>1951.2564994551994</v>
      </c>
      <c r="L30" s="137">
        <f>1870.825+435.163</f>
        <v>2305.9880000000003</v>
      </c>
      <c r="M30" s="128"/>
    </row>
    <row r="31" spans="1:15" ht="13.8" x14ac:dyDescent="0.25">
      <c r="A31" s="37" t="s">
        <v>50</v>
      </c>
      <c r="B31" s="69">
        <f>L30</f>
        <v>2305.9880000000003</v>
      </c>
      <c r="C31" s="55">
        <v>2222.123</v>
      </c>
      <c r="D31" s="137">
        <f>(0.0245+0.0009+1.309+8.3296)*2.204622</f>
        <v>21.305467008000001</v>
      </c>
      <c r="E31" s="138">
        <f t="shared" si="6"/>
        <v>4549.4164670080008</v>
      </c>
      <c r="F31" s="137"/>
      <c r="G31" s="137">
        <f t="shared" si="7"/>
        <v>2148.3040995514011</v>
      </c>
      <c r="H31" s="138" t="s">
        <v>10</v>
      </c>
      <c r="I31" s="138" t="s">
        <v>10</v>
      </c>
      <c r="J31" s="138">
        <f>(0.1505+60.7053+9.3538+0.4757)*2.204622</f>
        <v>155.83436745660001</v>
      </c>
      <c r="K31" s="138">
        <f t="shared" si="8"/>
        <v>2304.138467008001</v>
      </c>
      <c r="L31" s="137">
        <f>1864.1+381.178</f>
        <v>2245.2779999999998</v>
      </c>
      <c r="M31" s="128"/>
    </row>
    <row r="32" spans="1:15" ht="13.8" x14ac:dyDescent="0.25">
      <c r="A32" s="33" t="s">
        <v>131</v>
      </c>
      <c r="B32" s="75"/>
      <c r="C32" s="60">
        <f>SUM(C26:C31)</f>
        <v>13181.654999999999</v>
      </c>
      <c r="D32" s="75">
        <f>SUM(D26:D31)</f>
        <v>128.58668356401</v>
      </c>
      <c r="E32" s="60">
        <f>B26+C32+D32</f>
        <v>15162.771683564048</v>
      </c>
      <c r="F32" s="75"/>
      <c r="G32" s="75">
        <f>SUM(G26:G31)</f>
        <v>11581.505370820378</v>
      </c>
      <c r="H32" s="60">
        <f>SUM(H26:H30)</f>
        <v>4823.333333333333</v>
      </c>
      <c r="I32" s="60">
        <f>SUM(I26:I30)</f>
        <v>4609.8679379356417</v>
      </c>
      <c r="J32" s="60">
        <f>SUM(J26:J31)</f>
        <v>1335.9883127436719</v>
      </c>
      <c r="K32" s="75">
        <f>SUM(K26:K31)</f>
        <v>12917.493683564047</v>
      </c>
      <c r="L32" s="75"/>
    </row>
    <row r="33" spans="1:12" ht="16.2" x14ac:dyDescent="0.25">
      <c r="A33" s="73" t="s">
        <v>182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4.4" x14ac:dyDescent="0.3">
      <c r="A34" s="34" t="s">
        <v>96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13.8" x14ac:dyDescent="0.25">
      <c r="A35" s="38" t="s">
        <v>18</v>
      </c>
      <c r="B35" s="65">
        <f ca="1">NOW()</f>
        <v>44341.37117604167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</row>
  </sheetData>
  <mergeCells count="3">
    <mergeCell ref="B5:L5"/>
    <mergeCell ref="G2:I2"/>
    <mergeCell ref="B2:E2"/>
  </mergeCells>
  <phoneticPr fontId="5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topLeftCell="A31" zoomScaleNormal="100" workbookViewId="0">
      <selection activeCell="A52" sqref="A52"/>
    </sheetView>
  </sheetViews>
  <sheetFormatPr defaultRowHeight="13.2" x14ac:dyDescent="0.25"/>
  <cols>
    <col min="1" max="1" width="14.77734375" customWidth="1"/>
    <col min="2" max="2" width="12.6640625" customWidth="1"/>
    <col min="3" max="3" width="10.21875" customWidth="1"/>
    <col min="4" max="4" width="12.21875" customWidth="1"/>
    <col min="5" max="5" width="10.77734375" customWidth="1"/>
    <col min="6" max="6" width="10.5546875" customWidth="1"/>
    <col min="7" max="7" width="11.77734375" customWidth="1"/>
    <col min="8" max="8" width="8.77734375" customWidth="1"/>
    <col min="9" max="9" width="9.77734375" customWidth="1"/>
    <col min="10" max="11" width="7.77734375" customWidth="1"/>
    <col min="12" max="12" width="8.5546875" customWidth="1"/>
    <col min="13" max="13" width="9.5546875" customWidth="1"/>
    <col min="14" max="15" width="7.5546875" customWidth="1"/>
  </cols>
  <sheetData>
    <row r="1" spans="1:15" ht="13.8" x14ac:dyDescent="0.25">
      <c r="A1" s="33" t="s">
        <v>145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4"/>
      <c r="N1" s="34"/>
      <c r="O1" s="34"/>
    </row>
    <row r="2" spans="1:15" ht="13.8" x14ac:dyDescent="0.25">
      <c r="A2" s="34"/>
      <c r="B2" s="177" t="s">
        <v>0</v>
      </c>
      <c r="C2" s="177"/>
      <c r="D2" s="177"/>
      <c r="E2" s="177"/>
      <c r="F2" s="76"/>
      <c r="G2" s="177" t="s">
        <v>17</v>
      </c>
      <c r="H2" s="177"/>
      <c r="I2" s="177"/>
      <c r="J2" s="177"/>
      <c r="K2" s="76"/>
      <c r="L2" s="34"/>
      <c r="M2" s="34"/>
      <c r="N2" s="34"/>
      <c r="O2" s="34"/>
    </row>
    <row r="3" spans="1:15" ht="13.8" x14ac:dyDescent="0.25">
      <c r="A3" s="34" t="s">
        <v>64</v>
      </c>
      <c r="B3" s="38" t="s">
        <v>28</v>
      </c>
      <c r="C3" s="38"/>
      <c r="D3" s="38"/>
      <c r="E3" s="38"/>
      <c r="F3" s="77"/>
      <c r="G3" s="38"/>
      <c r="H3" s="38"/>
      <c r="I3" s="38"/>
      <c r="J3" s="38"/>
      <c r="K3" s="36" t="s">
        <v>26</v>
      </c>
      <c r="L3" s="34"/>
      <c r="M3" s="34"/>
      <c r="N3" s="34"/>
      <c r="O3" s="34"/>
    </row>
    <row r="4" spans="1:15" ht="13.8" x14ac:dyDescent="0.25">
      <c r="A4" s="39" t="s">
        <v>66</v>
      </c>
      <c r="B4" s="41" t="s">
        <v>42</v>
      </c>
      <c r="C4" s="78" t="s">
        <v>1</v>
      </c>
      <c r="D4" s="43" t="s">
        <v>29</v>
      </c>
      <c r="E4" s="41" t="s">
        <v>73</v>
      </c>
      <c r="F4" s="42"/>
      <c r="G4" s="41" t="s">
        <v>32</v>
      </c>
      <c r="H4" s="41" t="s">
        <v>4</v>
      </c>
      <c r="I4" s="41" t="s">
        <v>33</v>
      </c>
      <c r="J4" s="41" t="s">
        <v>30</v>
      </c>
      <c r="K4" s="41" t="s">
        <v>25</v>
      </c>
      <c r="L4" s="34"/>
      <c r="M4" s="34"/>
      <c r="N4" s="34"/>
      <c r="O4" s="34"/>
    </row>
    <row r="5" spans="1:15" ht="14.4" x14ac:dyDescent="0.3">
      <c r="A5" s="34"/>
      <c r="B5" s="178" t="s">
        <v>14</v>
      </c>
      <c r="C5" s="178"/>
      <c r="D5" s="178"/>
      <c r="E5" s="178"/>
      <c r="F5" s="178"/>
      <c r="G5" s="178"/>
      <c r="H5" s="178"/>
      <c r="I5" s="178"/>
      <c r="J5" s="178"/>
      <c r="K5" s="178"/>
      <c r="L5" s="34"/>
      <c r="M5" s="34"/>
      <c r="N5" s="34"/>
      <c r="O5" s="34"/>
    </row>
    <row r="6" spans="1:15" ht="13.8" x14ac:dyDescent="0.25">
      <c r="A6" s="34" t="s">
        <v>121</v>
      </c>
      <c r="B6" s="79">
        <v>477</v>
      </c>
      <c r="C6" s="79">
        <v>5945</v>
      </c>
      <c r="D6" s="80">
        <v>1.0880000000000001</v>
      </c>
      <c r="E6" s="79">
        <v>6423.0879999999997</v>
      </c>
      <c r="F6" s="49"/>
      <c r="G6" s="79">
        <v>1712.0099999999998</v>
      </c>
      <c r="H6" s="81">
        <v>340.67500000000001</v>
      </c>
      <c r="I6" s="79">
        <v>3914.4029999999993</v>
      </c>
      <c r="J6" s="79">
        <v>5967.0879999999997</v>
      </c>
      <c r="K6" s="79">
        <v>456</v>
      </c>
      <c r="L6" s="34"/>
      <c r="M6" s="34"/>
      <c r="N6" s="34"/>
      <c r="O6" s="34"/>
    </row>
    <row r="7" spans="1:15" ht="16.2" x14ac:dyDescent="0.25">
      <c r="A7" s="37" t="s">
        <v>124</v>
      </c>
      <c r="B7" s="86">
        <f>K6</f>
        <v>456</v>
      </c>
      <c r="C7" s="86">
        <v>4587</v>
      </c>
      <c r="D7" s="145">
        <v>5</v>
      </c>
      <c r="E7" s="86">
        <f>B7+C7+D7</f>
        <v>5048</v>
      </c>
      <c r="F7" s="87"/>
      <c r="G7" s="86">
        <v>1600</v>
      </c>
      <c r="H7" s="89">
        <v>250</v>
      </c>
      <c r="I7" s="86">
        <f>J7-G7-H7</f>
        <v>2807</v>
      </c>
      <c r="J7" s="86">
        <f>E7-K7</f>
        <v>4657</v>
      </c>
      <c r="K7" s="86">
        <v>391</v>
      </c>
      <c r="L7" s="34"/>
      <c r="M7" s="34"/>
      <c r="N7" s="34"/>
      <c r="O7" s="34"/>
    </row>
    <row r="8" spans="1:15" ht="16.2" x14ac:dyDescent="0.25">
      <c r="A8" s="33" t="s">
        <v>165</v>
      </c>
      <c r="B8" s="82">
        <f>K7</f>
        <v>391</v>
      </c>
      <c r="C8" s="82">
        <v>4587</v>
      </c>
      <c r="D8" s="83">
        <v>5</v>
      </c>
      <c r="E8" s="82">
        <f>B8+C8+D8</f>
        <v>4983</v>
      </c>
      <c r="F8" s="84"/>
      <c r="G8" s="82">
        <v>1600</v>
      </c>
      <c r="H8" s="85">
        <v>250</v>
      </c>
      <c r="I8" s="82">
        <f>J8-G8-H8</f>
        <v>2741</v>
      </c>
      <c r="J8" s="82">
        <f>E8-K8</f>
        <v>4591</v>
      </c>
      <c r="K8" s="82">
        <v>392</v>
      </c>
      <c r="L8" s="34"/>
      <c r="M8" s="34"/>
      <c r="N8" s="34"/>
      <c r="O8" s="34"/>
    </row>
    <row r="9" spans="1:15" ht="16.2" x14ac:dyDescent="0.25">
      <c r="A9" s="73" t="s">
        <v>97</v>
      </c>
      <c r="B9" s="34"/>
      <c r="C9" s="49"/>
      <c r="D9" s="49"/>
      <c r="E9" s="49"/>
      <c r="F9" s="49"/>
      <c r="G9" s="131"/>
      <c r="H9" s="49"/>
      <c r="I9" s="49"/>
      <c r="J9" s="49"/>
      <c r="K9" s="34"/>
      <c r="L9" s="34"/>
      <c r="M9" s="34"/>
      <c r="N9" s="34"/>
      <c r="O9" s="34"/>
    </row>
    <row r="10" spans="1:15" ht="14.4" x14ac:dyDescent="0.3">
      <c r="A10" s="34" t="s">
        <v>157</v>
      </c>
      <c r="B10" s="50"/>
      <c r="C10" s="54"/>
      <c r="D10" s="34"/>
      <c r="E10" s="50"/>
      <c r="F10" s="50"/>
      <c r="G10" s="50"/>
      <c r="H10" s="50"/>
      <c r="I10" s="50"/>
      <c r="J10" s="50"/>
      <c r="K10" s="34"/>
      <c r="L10" s="34"/>
      <c r="M10" s="34"/>
      <c r="N10" s="34"/>
      <c r="O10" s="34"/>
    </row>
    <row r="11" spans="1:15" ht="14.4" x14ac:dyDescent="0.3">
      <c r="A11" s="34" t="s">
        <v>126</v>
      </c>
      <c r="B11" s="50"/>
      <c r="C11" s="54"/>
      <c r="D11" s="34"/>
      <c r="E11" s="50"/>
      <c r="F11" s="50"/>
      <c r="G11" s="50"/>
      <c r="H11" s="50"/>
      <c r="I11" s="50"/>
      <c r="J11" s="50"/>
      <c r="K11" s="34"/>
      <c r="L11" s="34"/>
      <c r="M11" s="34"/>
      <c r="N11" s="34"/>
      <c r="O11" s="34"/>
    </row>
    <row r="12" spans="1:15" ht="13.8" x14ac:dyDescent="0.25">
      <c r="A12" s="34"/>
      <c r="B12" s="50"/>
      <c r="C12" s="54"/>
      <c r="D12" s="34"/>
      <c r="E12" s="50"/>
      <c r="F12" s="50"/>
      <c r="G12" s="50"/>
      <c r="H12" s="50"/>
      <c r="I12" s="50"/>
      <c r="J12" s="50"/>
      <c r="K12" s="34"/>
      <c r="L12" s="34"/>
      <c r="M12" s="34"/>
      <c r="N12" s="34"/>
      <c r="O12" s="34"/>
    </row>
    <row r="13" spans="1:15" ht="13.8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ht="13.8" x14ac:dyDescent="0.25">
      <c r="A14" s="33" t="s">
        <v>146</v>
      </c>
      <c r="B14" s="33"/>
      <c r="C14" s="33"/>
      <c r="D14" s="33"/>
      <c r="E14" s="33"/>
      <c r="F14" s="33"/>
      <c r="G14" s="33"/>
      <c r="H14" s="33"/>
      <c r="I14" s="34"/>
      <c r="J14" s="33"/>
      <c r="K14" s="34"/>
      <c r="L14" s="34"/>
      <c r="M14" s="34"/>
      <c r="N14" s="34"/>
      <c r="O14" s="34"/>
    </row>
    <row r="15" spans="1:15" ht="13.8" x14ac:dyDescent="0.25">
      <c r="A15" s="34"/>
      <c r="B15" s="177" t="s">
        <v>0</v>
      </c>
      <c r="C15" s="177"/>
      <c r="D15" s="177"/>
      <c r="E15" s="177"/>
      <c r="F15" s="34"/>
      <c r="G15" s="177" t="s">
        <v>17</v>
      </c>
      <c r="H15" s="177"/>
      <c r="I15" s="177"/>
      <c r="J15" s="34"/>
      <c r="K15" s="34"/>
      <c r="L15" s="34"/>
      <c r="M15" s="34"/>
      <c r="N15" s="34"/>
      <c r="O15" s="34"/>
    </row>
    <row r="16" spans="1:15" ht="13.8" x14ac:dyDescent="0.25">
      <c r="A16" s="34" t="s">
        <v>64</v>
      </c>
      <c r="B16" s="36" t="s">
        <v>28</v>
      </c>
      <c r="C16" s="38"/>
      <c r="D16" s="38"/>
      <c r="E16" s="38"/>
      <c r="F16" s="38"/>
      <c r="G16" s="38"/>
      <c r="H16" s="38"/>
      <c r="I16" s="38"/>
      <c r="J16" s="36" t="s">
        <v>26</v>
      </c>
      <c r="K16" s="34"/>
      <c r="L16" s="34"/>
      <c r="M16" s="34"/>
      <c r="N16" s="34"/>
      <c r="O16" s="34"/>
    </row>
    <row r="17" spans="1:15" ht="13.8" x14ac:dyDescent="0.25">
      <c r="A17" s="39" t="s">
        <v>65</v>
      </c>
      <c r="B17" s="41" t="s">
        <v>25</v>
      </c>
      <c r="C17" s="78" t="s">
        <v>1</v>
      </c>
      <c r="D17" s="43" t="s">
        <v>29</v>
      </c>
      <c r="E17" s="41" t="s">
        <v>30</v>
      </c>
      <c r="F17" s="42"/>
      <c r="G17" s="86" t="s">
        <v>9</v>
      </c>
      <c r="H17" s="41" t="s">
        <v>4</v>
      </c>
      <c r="I17" s="43" t="s">
        <v>24</v>
      </c>
      <c r="J17" s="41" t="s">
        <v>25</v>
      </c>
      <c r="K17" s="34"/>
      <c r="L17" s="34"/>
      <c r="M17" s="34"/>
      <c r="N17" s="34"/>
      <c r="O17" s="34"/>
    </row>
    <row r="18" spans="1:15" ht="14.4" x14ac:dyDescent="0.3">
      <c r="A18" s="34"/>
      <c r="B18" s="178" t="s">
        <v>15</v>
      </c>
      <c r="C18" s="178"/>
      <c r="D18" s="178"/>
      <c r="E18" s="178"/>
      <c r="F18" s="178"/>
      <c r="G18" s="178"/>
      <c r="H18" s="178"/>
      <c r="I18" s="178"/>
      <c r="J18" s="178"/>
      <c r="K18" s="34"/>
      <c r="L18" s="34"/>
      <c r="M18" s="34"/>
      <c r="N18" s="34"/>
      <c r="O18" s="34"/>
    </row>
    <row r="19" spans="1:15" ht="13.8" x14ac:dyDescent="0.25">
      <c r="A19" s="34" t="s">
        <v>121</v>
      </c>
      <c r="B19" s="79">
        <v>43</v>
      </c>
      <c r="C19" s="81">
        <v>779.976</v>
      </c>
      <c r="D19" s="80">
        <v>0</v>
      </c>
      <c r="E19" s="81">
        <v>822.976</v>
      </c>
      <c r="F19" s="34"/>
      <c r="G19" s="81">
        <v>688.53899999999999</v>
      </c>
      <c r="H19" s="81">
        <v>109.565</v>
      </c>
      <c r="I19" s="81">
        <v>798.10400000000004</v>
      </c>
      <c r="J19" s="79">
        <v>24.872</v>
      </c>
      <c r="K19" s="34"/>
      <c r="L19" s="34"/>
      <c r="M19" s="34"/>
      <c r="N19" s="34"/>
      <c r="O19" s="34"/>
    </row>
    <row r="20" spans="1:15" ht="16.2" x14ac:dyDescent="0.25">
      <c r="A20" s="37" t="s">
        <v>124</v>
      </c>
      <c r="B20" s="86">
        <v>25</v>
      </c>
      <c r="C20" s="89">
        <v>725</v>
      </c>
      <c r="D20" s="145">
        <v>0</v>
      </c>
      <c r="E20" s="89">
        <f>B20+C20+D20</f>
        <v>750</v>
      </c>
      <c r="F20" s="87"/>
      <c r="G20" s="89">
        <v>630</v>
      </c>
      <c r="H20" s="89">
        <v>68</v>
      </c>
      <c r="I20" s="89">
        <v>75</v>
      </c>
      <c r="J20" s="86">
        <v>25</v>
      </c>
      <c r="K20" s="34"/>
      <c r="L20" s="34"/>
      <c r="M20" s="34"/>
      <c r="N20" s="34"/>
      <c r="O20" s="34"/>
    </row>
    <row r="21" spans="1:15" ht="16.2" x14ac:dyDescent="0.25">
      <c r="A21" s="33" t="s">
        <v>165</v>
      </c>
      <c r="B21" s="82">
        <v>25</v>
      </c>
      <c r="C21" s="85">
        <v>725</v>
      </c>
      <c r="D21" s="83">
        <v>0</v>
      </c>
      <c r="E21" s="85">
        <f>B21+C21+D21</f>
        <v>750</v>
      </c>
      <c r="F21" s="84"/>
      <c r="G21" s="85">
        <v>630</v>
      </c>
      <c r="H21" s="85">
        <v>68</v>
      </c>
      <c r="I21" s="85">
        <v>75</v>
      </c>
      <c r="J21" s="82">
        <v>25</v>
      </c>
      <c r="K21" s="34"/>
      <c r="L21" s="34"/>
      <c r="M21" s="34"/>
      <c r="N21" s="34"/>
      <c r="O21" s="34"/>
    </row>
    <row r="22" spans="1:15" ht="16.2" x14ac:dyDescent="0.25">
      <c r="A22" s="73" t="s">
        <v>97</v>
      </c>
      <c r="B22" s="34"/>
      <c r="C22" s="49"/>
      <c r="D22" s="49"/>
      <c r="E22" s="49"/>
      <c r="F22" s="49"/>
      <c r="G22" s="49"/>
      <c r="H22" s="49"/>
      <c r="I22" s="34"/>
      <c r="J22" s="34"/>
      <c r="K22" s="34"/>
      <c r="L22" s="34"/>
      <c r="M22" s="34"/>
      <c r="N22" s="34"/>
      <c r="O22" s="34"/>
    </row>
    <row r="23" spans="1:15" ht="14.4" x14ac:dyDescent="0.3">
      <c r="A23" s="34" t="s">
        <v>125</v>
      </c>
      <c r="B23" s="87"/>
      <c r="C23" s="87"/>
      <c r="D23" s="87"/>
      <c r="E23" s="87"/>
      <c r="F23" s="87"/>
      <c r="G23" s="87"/>
      <c r="H23" s="87"/>
      <c r="I23" s="34"/>
      <c r="J23" s="34"/>
      <c r="K23" s="34"/>
      <c r="L23" s="34"/>
      <c r="M23" s="34"/>
      <c r="N23" s="34"/>
      <c r="O23" s="34"/>
    </row>
    <row r="24" spans="1:15" ht="13.8" x14ac:dyDescent="0.25">
      <c r="A24" s="37"/>
      <c r="B24" s="50"/>
      <c r="C24" s="50"/>
      <c r="D24" s="50"/>
      <c r="E24" s="50"/>
      <c r="F24" s="50"/>
      <c r="G24" s="50"/>
      <c r="H24" s="50"/>
      <c r="I24" s="34"/>
      <c r="J24" s="34"/>
      <c r="K24" s="34"/>
      <c r="L24" s="34"/>
      <c r="M24" s="34"/>
      <c r="N24" s="34"/>
      <c r="O24" s="34"/>
    </row>
    <row r="25" spans="1:15" ht="13.8" x14ac:dyDescent="0.25">
      <c r="A25" s="37"/>
      <c r="B25" s="50"/>
      <c r="C25" s="54"/>
      <c r="D25" s="50"/>
      <c r="E25" s="50"/>
      <c r="F25" s="50"/>
      <c r="G25" s="50"/>
      <c r="H25" s="50"/>
      <c r="I25" s="34"/>
      <c r="J25" s="34"/>
      <c r="K25" s="34"/>
      <c r="L25" s="34"/>
      <c r="M25" s="34"/>
      <c r="N25" s="34"/>
      <c r="O25" s="34"/>
    </row>
    <row r="26" spans="1:15" ht="13.8" x14ac:dyDescent="0.25">
      <c r="A26" s="33" t="s">
        <v>147</v>
      </c>
      <c r="B26" s="33"/>
      <c r="C26" s="33"/>
      <c r="D26" s="33"/>
      <c r="E26" s="33"/>
      <c r="F26" s="33"/>
      <c r="G26" s="33"/>
      <c r="H26" s="33"/>
      <c r="I26" s="34"/>
      <c r="J26" s="33"/>
      <c r="K26" s="34"/>
      <c r="L26" s="34"/>
      <c r="M26" s="34"/>
      <c r="N26" s="34"/>
      <c r="O26" s="34"/>
    </row>
    <row r="27" spans="1:15" ht="13.8" x14ac:dyDescent="0.25">
      <c r="A27" s="34"/>
      <c r="B27" s="177" t="s">
        <v>0</v>
      </c>
      <c r="C27" s="177"/>
      <c r="D27" s="177"/>
      <c r="E27" s="177"/>
      <c r="F27" s="34"/>
      <c r="G27" s="177" t="s">
        <v>17</v>
      </c>
      <c r="H27" s="177"/>
      <c r="I27" s="177"/>
      <c r="J27" s="34"/>
      <c r="K27" s="34"/>
      <c r="L27" s="34"/>
      <c r="M27" s="34"/>
      <c r="N27" s="34"/>
      <c r="O27" s="34"/>
    </row>
    <row r="28" spans="1:15" ht="13.8" x14ac:dyDescent="0.25">
      <c r="A28" s="34" t="s">
        <v>64</v>
      </c>
      <c r="B28" s="36" t="s">
        <v>28</v>
      </c>
      <c r="C28" s="38"/>
      <c r="D28" s="38"/>
      <c r="E28" s="38"/>
      <c r="F28" s="38"/>
      <c r="G28" s="38"/>
      <c r="H28" s="38"/>
      <c r="I28" s="38"/>
      <c r="J28" s="36" t="s">
        <v>26</v>
      </c>
      <c r="K28" s="34"/>
      <c r="L28" s="34"/>
      <c r="M28" s="34"/>
      <c r="N28" s="34"/>
      <c r="O28" s="34"/>
    </row>
    <row r="29" spans="1:15" ht="13.8" x14ac:dyDescent="0.25">
      <c r="A29" s="39" t="s">
        <v>65</v>
      </c>
      <c r="B29" s="41" t="s">
        <v>25</v>
      </c>
      <c r="C29" s="41" t="s">
        <v>1</v>
      </c>
      <c r="D29" s="43" t="s">
        <v>29</v>
      </c>
      <c r="E29" s="41" t="s">
        <v>30</v>
      </c>
      <c r="F29" s="42"/>
      <c r="G29" s="41" t="s">
        <v>27</v>
      </c>
      <c r="H29" s="41" t="s">
        <v>4</v>
      </c>
      <c r="I29" s="41" t="s">
        <v>24</v>
      </c>
      <c r="J29" s="41" t="s">
        <v>74</v>
      </c>
      <c r="K29" s="34"/>
      <c r="L29" s="34"/>
      <c r="M29" s="34"/>
      <c r="N29" s="34"/>
      <c r="O29" s="34"/>
    </row>
    <row r="30" spans="1:15" ht="14.4" x14ac:dyDescent="0.3">
      <c r="A30" s="34"/>
      <c r="B30" s="178" t="s">
        <v>171</v>
      </c>
      <c r="C30" s="178"/>
      <c r="D30" s="178"/>
      <c r="E30" s="178"/>
      <c r="F30" s="178"/>
      <c r="G30" s="178"/>
      <c r="H30" s="178"/>
      <c r="I30" s="178"/>
      <c r="J30" s="178"/>
      <c r="K30" s="34"/>
      <c r="L30" s="34"/>
      <c r="M30" s="34"/>
      <c r="N30" s="34"/>
      <c r="O30" s="34"/>
    </row>
    <row r="31" spans="1:15" ht="13.8" x14ac:dyDescent="0.25">
      <c r="A31" s="34" t="s">
        <v>121</v>
      </c>
      <c r="B31" s="80">
        <v>35.040999999999997</v>
      </c>
      <c r="C31" s="81">
        <v>481.34800000000001</v>
      </c>
      <c r="D31" s="80">
        <v>0.26666000000000001</v>
      </c>
      <c r="E31" s="88">
        <v>516.65566000000001</v>
      </c>
      <c r="F31" s="34"/>
      <c r="G31" s="81">
        <v>388.20186000000001</v>
      </c>
      <c r="H31" s="81">
        <v>83.915800000000004</v>
      </c>
      <c r="I31" s="81">
        <v>472.11766</v>
      </c>
      <c r="J31" s="89">
        <v>44.537999999999997</v>
      </c>
      <c r="K31" s="34"/>
      <c r="L31" s="34"/>
      <c r="M31" s="34"/>
      <c r="N31" s="34"/>
      <c r="O31" s="34"/>
    </row>
    <row r="32" spans="1:15" ht="16.2" x14ac:dyDescent="0.25">
      <c r="A32" s="37" t="s">
        <v>124</v>
      </c>
      <c r="B32" s="145">
        <f>J31</f>
        <v>44.537999999999997</v>
      </c>
      <c r="C32" s="89">
        <v>440</v>
      </c>
      <c r="D32" s="145">
        <v>5</v>
      </c>
      <c r="E32" s="146">
        <f>B32+C32+D32</f>
        <v>489.53800000000001</v>
      </c>
      <c r="F32" s="87"/>
      <c r="G32" s="89">
        <f>I32-H32</f>
        <v>379.53800000000001</v>
      </c>
      <c r="H32" s="89">
        <v>65</v>
      </c>
      <c r="I32" s="89">
        <f>E32-J32</f>
        <v>444.53800000000001</v>
      </c>
      <c r="J32" s="89">
        <v>45</v>
      </c>
      <c r="K32" s="34"/>
      <c r="L32" s="34"/>
      <c r="M32" s="34"/>
      <c r="N32" s="34"/>
      <c r="O32" s="34"/>
    </row>
    <row r="33" spans="1:15" ht="16.2" x14ac:dyDescent="0.25">
      <c r="A33" s="33" t="s">
        <v>165</v>
      </c>
      <c r="B33" s="83">
        <f>J32</f>
        <v>45</v>
      </c>
      <c r="C33" s="85">
        <v>485</v>
      </c>
      <c r="D33" s="83">
        <v>5</v>
      </c>
      <c r="E33" s="90">
        <f>B33+C33+D33</f>
        <v>535</v>
      </c>
      <c r="F33" s="84"/>
      <c r="G33" s="85">
        <f>I33-H33</f>
        <v>424</v>
      </c>
      <c r="H33" s="85">
        <v>66</v>
      </c>
      <c r="I33" s="85">
        <f>E33-J33</f>
        <v>490</v>
      </c>
      <c r="J33" s="85">
        <v>45</v>
      </c>
      <c r="K33" s="34"/>
      <c r="L33" s="34"/>
      <c r="M33" s="34"/>
      <c r="N33" s="34"/>
      <c r="O33" s="34"/>
    </row>
    <row r="34" spans="1:15" ht="16.2" x14ac:dyDescent="0.25">
      <c r="A34" s="73" t="s">
        <v>97</v>
      </c>
      <c r="B34" s="34"/>
      <c r="C34" s="49"/>
      <c r="D34" s="49"/>
      <c r="E34" s="49"/>
      <c r="F34" s="49"/>
      <c r="G34" s="49"/>
      <c r="H34" s="49"/>
      <c r="I34" s="34"/>
      <c r="J34" s="34"/>
      <c r="K34" s="34"/>
      <c r="L34" s="34"/>
      <c r="M34" s="34"/>
      <c r="N34" s="34"/>
      <c r="O34" s="34"/>
    </row>
    <row r="35" spans="1:15" ht="14.4" x14ac:dyDescent="0.3">
      <c r="A35" s="34" t="s">
        <v>125</v>
      </c>
      <c r="B35" s="50"/>
      <c r="C35" s="54"/>
      <c r="D35" s="50"/>
      <c r="E35" s="50"/>
      <c r="F35" s="50"/>
      <c r="G35" s="50"/>
      <c r="H35" s="50"/>
      <c r="I35" s="34"/>
      <c r="J35" s="34"/>
      <c r="K35" s="34"/>
      <c r="L35" s="34"/>
      <c r="M35" s="34"/>
      <c r="N35" s="34"/>
      <c r="O35" s="34"/>
    </row>
    <row r="36" spans="1:15" ht="13.8" x14ac:dyDescent="0.25">
      <c r="A36" s="37"/>
      <c r="B36" s="37"/>
      <c r="C36" s="37"/>
      <c r="D36" s="37"/>
      <c r="E36" s="37"/>
      <c r="F36" s="37"/>
      <c r="G36" s="37"/>
      <c r="H36" s="37"/>
      <c r="I36" s="34"/>
      <c r="J36" s="34"/>
      <c r="K36" s="34"/>
      <c r="L36" s="34"/>
      <c r="M36" s="34"/>
      <c r="N36" s="34"/>
      <c r="O36" s="34"/>
    </row>
    <row r="37" spans="1:15" ht="13.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3.8" x14ac:dyDescent="0.25">
      <c r="A38" s="33" t="s">
        <v>148</v>
      </c>
      <c r="B38" s="33"/>
      <c r="C38" s="33"/>
      <c r="D38" s="33"/>
      <c r="E38" s="33"/>
      <c r="F38" s="33"/>
      <c r="G38" s="33"/>
      <c r="H38" s="33"/>
      <c r="I38" s="33"/>
      <c r="J38" s="34"/>
      <c r="K38" s="34"/>
      <c r="L38" s="34"/>
      <c r="M38" s="34"/>
      <c r="N38" s="34"/>
      <c r="O38" s="34"/>
    </row>
    <row r="39" spans="1:15" ht="13.8" x14ac:dyDescent="0.25">
      <c r="A39" s="34"/>
      <c r="B39" s="177" t="s">
        <v>19</v>
      </c>
      <c r="C39" s="177"/>
      <c r="D39" s="36" t="s">
        <v>22</v>
      </c>
      <c r="E39" s="177" t="s">
        <v>70</v>
      </c>
      <c r="F39" s="177"/>
      <c r="G39" s="177"/>
      <c r="H39" s="177"/>
      <c r="I39" s="34"/>
      <c r="J39" s="143" t="s">
        <v>17</v>
      </c>
      <c r="K39" s="143"/>
      <c r="L39" s="143"/>
      <c r="M39" s="143"/>
      <c r="N39" s="143"/>
      <c r="O39" s="34"/>
    </row>
    <row r="40" spans="1:15" ht="13.8" x14ac:dyDescent="0.25">
      <c r="A40" s="34" t="s">
        <v>64</v>
      </c>
      <c r="B40" s="36" t="s">
        <v>20</v>
      </c>
      <c r="C40" s="36" t="s">
        <v>21</v>
      </c>
      <c r="D40" s="34"/>
      <c r="E40" s="36" t="s">
        <v>28</v>
      </c>
      <c r="F40" s="36"/>
      <c r="G40" s="36"/>
      <c r="H40" s="36"/>
      <c r="I40" s="34"/>
      <c r="J40" s="129" t="s">
        <v>9</v>
      </c>
      <c r="K40" s="36"/>
      <c r="L40" s="36" t="s">
        <v>76</v>
      </c>
      <c r="M40" s="36"/>
      <c r="N40" s="36"/>
      <c r="O40" s="36" t="s">
        <v>26</v>
      </c>
    </row>
    <row r="41" spans="1:15" ht="13.8" x14ac:dyDescent="0.25">
      <c r="A41" s="39" t="s">
        <v>66</v>
      </c>
      <c r="B41" s="40"/>
      <c r="C41" s="40"/>
      <c r="D41" s="40"/>
      <c r="E41" s="41" t="s">
        <v>25</v>
      </c>
      <c r="F41" s="41" t="s">
        <v>1</v>
      </c>
      <c r="G41" s="41" t="s">
        <v>29</v>
      </c>
      <c r="H41" s="41" t="s">
        <v>30</v>
      </c>
      <c r="I41" s="41"/>
      <c r="J41" s="41" t="s">
        <v>34</v>
      </c>
      <c r="K41" s="41" t="s">
        <v>32</v>
      </c>
      <c r="L41" s="41" t="s">
        <v>5</v>
      </c>
      <c r="M41" s="43" t="s">
        <v>4</v>
      </c>
      <c r="N41" s="41" t="s">
        <v>24</v>
      </c>
      <c r="O41" s="41" t="s">
        <v>74</v>
      </c>
    </row>
    <row r="42" spans="1:15" ht="14.4" x14ac:dyDescent="0.3">
      <c r="A42" s="34"/>
      <c r="B42" s="179" t="s">
        <v>72</v>
      </c>
      <c r="C42" s="178"/>
      <c r="D42" s="91" t="s">
        <v>60</v>
      </c>
      <c r="E42" s="144" t="s">
        <v>16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</row>
    <row r="43" spans="1:15" ht="13.8" x14ac:dyDescent="0.25">
      <c r="A43" s="34"/>
      <c r="B43" s="36"/>
      <c r="C43" s="3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3.8" x14ac:dyDescent="0.25">
      <c r="A44" s="34" t="s">
        <v>121</v>
      </c>
      <c r="B44" s="79">
        <v>1432.7</v>
      </c>
      <c r="C44" s="79">
        <v>1389.7</v>
      </c>
      <c r="D44" s="79">
        <v>3933.5734331150607</v>
      </c>
      <c r="E44" s="79">
        <v>2421.09</v>
      </c>
      <c r="F44" s="79">
        <v>5466.4870000000001</v>
      </c>
      <c r="G44" s="89">
        <v>113.761</v>
      </c>
      <c r="H44" s="79">
        <v>8001.3380000000006</v>
      </c>
      <c r="I44" s="79"/>
      <c r="J44" s="79">
        <v>3214.3</v>
      </c>
      <c r="K44" s="79">
        <v>773.977124</v>
      </c>
      <c r="L44" s="81">
        <v>287.33884758693694</v>
      </c>
      <c r="M44" s="81">
        <v>1607.5340284130634</v>
      </c>
      <c r="N44" s="79">
        <v>5883.1500000000005</v>
      </c>
      <c r="O44" s="79">
        <v>2118.1880000000001</v>
      </c>
    </row>
    <row r="45" spans="1:15" ht="16.2" x14ac:dyDescent="0.25">
      <c r="A45" s="37" t="s">
        <v>124</v>
      </c>
      <c r="B45" s="86">
        <v>1664.2</v>
      </c>
      <c r="C45" s="86">
        <v>1615.8</v>
      </c>
      <c r="D45" s="86">
        <f>F45*1000/C45</f>
        <v>3796.2000247555393</v>
      </c>
      <c r="E45" s="86">
        <f>O44</f>
        <v>2118.1880000000001</v>
      </c>
      <c r="F45" s="86">
        <v>6133.9</v>
      </c>
      <c r="G45" s="89">
        <v>115</v>
      </c>
      <c r="H45" s="86">
        <f>SUM(E45:G45)</f>
        <v>8367.0879999999997</v>
      </c>
      <c r="I45" s="86"/>
      <c r="J45" s="86">
        <v>3338</v>
      </c>
      <c r="K45" s="86">
        <v>825</v>
      </c>
      <c r="L45" s="89">
        <f>N45-J45-K45-M45</f>
        <v>681.08799999999974</v>
      </c>
      <c r="M45" s="89">
        <v>1500</v>
      </c>
      <c r="N45" s="86">
        <f>H45-O45</f>
        <v>6344.0879999999997</v>
      </c>
      <c r="O45" s="86">
        <v>2023</v>
      </c>
    </row>
    <row r="46" spans="1:15" ht="16.2" x14ac:dyDescent="0.25">
      <c r="A46" s="33" t="s">
        <v>165</v>
      </c>
      <c r="B46" s="82">
        <v>1626</v>
      </c>
      <c r="C46" s="82">
        <v>1560</v>
      </c>
      <c r="D46" s="82">
        <v>4050</v>
      </c>
      <c r="E46" s="82">
        <f>O45</f>
        <v>2023</v>
      </c>
      <c r="F46" s="82">
        <v>6320</v>
      </c>
      <c r="G46" s="85">
        <v>115</v>
      </c>
      <c r="H46" s="82">
        <f>SUM(E46:G46)</f>
        <v>8458</v>
      </c>
      <c r="I46" s="82"/>
      <c r="J46" s="82">
        <v>3391</v>
      </c>
      <c r="K46" s="82">
        <v>850</v>
      </c>
      <c r="L46" s="85">
        <v>666</v>
      </c>
      <c r="M46" s="85">
        <v>1500</v>
      </c>
      <c r="N46" s="82">
        <f>H46-O46</f>
        <v>6407</v>
      </c>
      <c r="O46" s="82">
        <v>2051</v>
      </c>
    </row>
    <row r="47" spans="1:15" ht="16.2" x14ac:dyDescent="0.25">
      <c r="A47" s="73" t="s">
        <v>97</v>
      </c>
      <c r="B47" s="34"/>
      <c r="C47" s="49"/>
      <c r="D47" s="49"/>
      <c r="E47" s="49"/>
      <c r="F47" s="49"/>
      <c r="G47" s="49"/>
      <c r="H47" s="49"/>
      <c r="I47" s="34"/>
      <c r="J47" s="34"/>
      <c r="K47" s="34"/>
      <c r="L47" s="34"/>
      <c r="M47" s="34"/>
      <c r="N47" s="34"/>
      <c r="O47" s="34"/>
    </row>
    <row r="48" spans="1:15" ht="14.4" x14ac:dyDescent="0.3">
      <c r="A48" s="34" t="s">
        <v>158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4.4" x14ac:dyDescent="0.3">
      <c r="A49" s="34" t="s">
        <v>126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3.8" x14ac:dyDescent="0.25">
      <c r="A50" s="38" t="s">
        <v>18</v>
      </c>
      <c r="B50" s="130">
        <f ca="1">NOW()</f>
        <v>44341.37117604167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44.4" customHeight="1" x14ac:dyDescent="0.25">
      <c r="A51" s="175" t="s">
        <v>183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1:15" ht="15.6" x14ac:dyDescent="0.3">
      <c r="G52" s="14"/>
      <c r="H52" s="14"/>
    </row>
    <row r="53" spans="1:15" ht="15.6" x14ac:dyDescent="0.3">
      <c r="G53" s="14"/>
      <c r="H53" s="14"/>
    </row>
    <row r="54" spans="1:15" ht="15.6" x14ac:dyDescent="0.3">
      <c r="G54" s="14"/>
      <c r="H54" s="14"/>
    </row>
  </sheetData>
  <mergeCells count="12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</mergeCells>
  <phoneticPr fontId="5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4"/>
  <sheetViews>
    <sheetView showGridLines="0" zoomScaleNormal="100" workbookViewId="0">
      <selection activeCell="A42" sqref="A42"/>
    </sheetView>
  </sheetViews>
  <sheetFormatPr defaultRowHeight="13.2" x14ac:dyDescent="0.25"/>
  <cols>
    <col min="1" max="1" width="11.77734375" customWidth="1"/>
    <col min="2" max="2" width="18.88671875" bestFit="1" customWidth="1"/>
    <col min="3" max="3" width="22.109375" bestFit="1" customWidth="1"/>
    <col min="4" max="5" width="25.77734375" bestFit="1" customWidth="1"/>
    <col min="6" max="6" width="16.6640625" bestFit="1" customWidth="1"/>
    <col min="7" max="7" width="18.88671875" bestFit="1" customWidth="1"/>
  </cols>
  <sheetData>
    <row r="1" spans="1:11" ht="15.6" customHeight="1" x14ac:dyDescent="0.25">
      <c r="A1" s="33" t="s">
        <v>149</v>
      </c>
      <c r="B1" s="33"/>
      <c r="C1" s="33"/>
      <c r="D1" s="33"/>
      <c r="E1" s="33"/>
      <c r="F1" s="33"/>
      <c r="G1" s="33"/>
      <c r="H1" s="1"/>
      <c r="I1" s="1"/>
      <c r="J1" s="1"/>
      <c r="K1" s="1"/>
    </row>
    <row r="2" spans="1:11" ht="15.6" customHeight="1" x14ac:dyDescent="0.25">
      <c r="A2" s="37" t="s">
        <v>11</v>
      </c>
      <c r="B2" s="74" t="s">
        <v>98</v>
      </c>
      <c r="C2" s="74" t="s">
        <v>99</v>
      </c>
      <c r="D2" s="74" t="s">
        <v>100</v>
      </c>
      <c r="E2" s="74" t="s">
        <v>101</v>
      </c>
      <c r="F2" s="74" t="s">
        <v>102</v>
      </c>
      <c r="G2" s="74" t="s">
        <v>103</v>
      </c>
      <c r="H2" s="1"/>
      <c r="I2" s="1"/>
      <c r="J2" s="1"/>
      <c r="K2" s="1"/>
    </row>
    <row r="3" spans="1:11" ht="15.6" customHeight="1" x14ac:dyDescent="0.25">
      <c r="A3" s="33" t="s">
        <v>12</v>
      </c>
      <c r="B3" s="42"/>
      <c r="C3" s="92"/>
      <c r="D3" s="92"/>
      <c r="E3" s="92"/>
      <c r="F3" s="92"/>
      <c r="G3" s="92"/>
      <c r="H3" s="1"/>
      <c r="I3" s="1"/>
      <c r="J3" s="1"/>
      <c r="K3" s="2"/>
    </row>
    <row r="4" spans="1:11" ht="14.4" x14ac:dyDescent="0.3">
      <c r="A4" s="93"/>
      <c r="B4" s="94" t="s">
        <v>136</v>
      </c>
      <c r="C4" s="94" t="s">
        <v>137</v>
      </c>
      <c r="D4" s="94" t="s">
        <v>139</v>
      </c>
      <c r="E4" s="94" t="s">
        <v>139</v>
      </c>
      <c r="F4" s="94" t="s">
        <v>138</v>
      </c>
      <c r="G4" s="94" t="s">
        <v>136</v>
      </c>
      <c r="H4" s="1"/>
      <c r="I4" s="2"/>
      <c r="J4" s="2"/>
      <c r="K4" s="2"/>
    </row>
    <row r="5" spans="1:11" ht="13.8" x14ac:dyDescent="0.25">
      <c r="A5" s="34"/>
      <c r="B5" s="34"/>
      <c r="C5" s="34"/>
      <c r="D5" s="36"/>
      <c r="E5" s="34"/>
      <c r="F5" s="34"/>
      <c r="G5" s="34"/>
      <c r="H5" s="1"/>
      <c r="I5" s="1"/>
      <c r="J5" s="1"/>
      <c r="K5" s="1"/>
    </row>
    <row r="6" spans="1:11" ht="13.8" x14ac:dyDescent="0.25">
      <c r="A6" s="34" t="s">
        <v>43</v>
      </c>
      <c r="B6" s="95">
        <v>11.3</v>
      </c>
      <c r="C6" s="95">
        <v>161</v>
      </c>
      <c r="D6" s="95">
        <v>23.3</v>
      </c>
      <c r="E6" s="95">
        <v>19.3</v>
      </c>
      <c r="F6" s="95">
        <v>22.5</v>
      </c>
      <c r="G6" s="95">
        <v>12.2</v>
      </c>
      <c r="H6" s="1"/>
      <c r="I6" s="3"/>
      <c r="J6" s="3"/>
      <c r="K6" s="3"/>
    </row>
    <row r="7" spans="1:11" ht="13.8" x14ac:dyDescent="0.25">
      <c r="A7" s="34" t="s">
        <v>54</v>
      </c>
      <c r="B7" s="95">
        <v>12.5</v>
      </c>
      <c r="C7" s="95">
        <v>260</v>
      </c>
      <c r="D7" s="95">
        <v>29.1</v>
      </c>
      <c r="E7" s="95">
        <v>24</v>
      </c>
      <c r="F7" s="95">
        <v>31.8</v>
      </c>
      <c r="G7" s="95">
        <v>13.9</v>
      </c>
      <c r="H7" s="1"/>
      <c r="I7" s="3"/>
      <c r="J7" s="3"/>
      <c r="K7" s="3"/>
    </row>
    <row r="8" spans="1:11" ht="13.8" x14ac:dyDescent="0.25">
      <c r="A8" s="34" t="s">
        <v>69</v>
      </c>
      <c r="B8" s="95">
        <v>14.4</v>
      </c>
      <c r="C8" s="95">
        <v>252</v>
      </c>
      <c r="D8" s="95">
        <v>25.4</v>
      </c>
      <c r="E8" s="95">
        <v>26.5</v>
      </c>
      <c r="F8" s="95">
        <v>30.1</v>
      </c>
      <c r="G8" s="95">
        <v>13.8</v>
      </c>
      <c r="H8" s="1"/>
      <c r="I8" s="3"/>
      <c r="J8" s="3"/>
      <c r="K8" s="3"/>
    </row>
    <row r="9" spans="1:11" ht="13.8" x14ac:dyDescent="0.25">
      <c r="A9" s="34" t="s">
        <v>75</v>
      </c>
      <c r="B9" s="95">
        <v>13</v>
      </c>
      <c r="C9" s="95">
        <v>246</v>
      </c>
      <c r="D9" s="95">
        <v>21.4</v>
      </c>
      <c r="E9" s="95">
        <v>20.6</v>
      </c>
      <c r="F9" s="95">
        <v>24.9</v>
      </c>
      <c r="G9" s="95">
        <v>13.8</v>
      </c>
      <c r="H9" s="1"/>
      <c r="I9" s="3"/>
      <c r="J9" s="3"/>
      <c r="K9" s="3"/>
    </row>
    <row r="10" spans="1:11" ht="13.8" x14ac:dyDescent="0.25">
      <c r="A10" s="34" t="s">
        <v>78</v>
      </c>
      <c r="B10" s="95">
        <v>10.1</v>
      </c>
      <c r="C10" s="95">
        <v>194</v>
      </c>
      <c r="D10" s="95">
        <v>21.7</v>
      </c>
      <c r="E10" s="95">
        <v>16.899999999999999</v>
      </c>
      <c r="F10" s="95">
        <v>22</v>
      </c>
      <c r="G10" s="95">
        <v>11.8</v>
      </c>
      <c r="H10" s="1"/>
      <c r="I10" s="3"/>
      <c r="J10" s="3"/>
      <c r="K10" s="3"/>
    </row>
    <row r="11" spans="1:11" ht="13.8" x14ac:dyDescent="0.25">
      <c r="A11" s="34" t="s">
        <v>79</v>
      </c>
      <c r="B11" s="95">
        <v>8.9499999999999993</v>
      </c>
      <c r="C11" s="95">
        <v>227</v>
      </c>
      <c r="D11" s="95">
        <v>19.600000000000001</v>
      </c>
      <c r="E11" s="95">
        <v>15.6</v>
      </c>
      <c r="F11" s="95">
        <v>19.3</v>
      </c>
      <c r="G11" s="95">
        <v>8.9499999999999993</v>
      </c>
      <c r="H11" s="1"/>
      <c r="I11" s="3"/>
      <c r="J11" s="3"/>
      <c r="K11" s="3"/>
    </row>
    <row r="12" spans="1:11" ht="13.8" x14ac:dyDescent="0.25">
      <c r="A12" s="34" t="s">
        <v>91</v>
      </c>
      <c r="B12" s="95">
        <v>9.4700000000000006</v>
      </c>
      <c r="C12" s="95">
        <v>195</v>
      </c>
      <c r="D12" s="95">
        <v>17.399999999999999</v>
      </c>
      <c r="E12" s="95">
        <v>16.600000000000001</v>
      </c>
      <c r="F12" s="95">
        <v>19.7</v>
      </c>
      <c r="G12" s="95">
        <v>8</v>
      </c>
      <c r="H12" s="1"/>
      <c r="I12" s="3"/>
      <c r="J12" s="3"/>
      <c r="K12" s="3"/>
    </row>
    <row r="13" spans="1:11" ht="13.8" x14ac:dyDescent="0.25">
      <c r="A13" s="34" t="s">
        <v>93</v>
      </c>
      <c r="B13" s="95">
        <v>9.33</v>
      </c>
      <c r="C13" s="95">
        <v>142</v>
      </c>
      <c r="D13" s="95">
        <v>17.2</v>
      </c>
      <c r="E13" s="95">
        <v>17.5</v>
      </c>
      <c r="F13" s="95">
        <v>22.9</v>
      </c>
      <c r="G13" s="95">
        <v>9.5299999999999994</v>
      </c>
      <c r="H13" s="1"/>
      <c r="I13" s="3"/>
      <c r="J13" s="3"/>
      <c r="K13" s="3"/>
    </row>
    <row r="14" spans="1:11" ht="13.8" x14ac:dyDescent="0.25">
      <c r="A14" s="34" t="s">
        <v>119</v>
      </c>
      <c r="B14" s="95">
        <v>8.48</v>
      </c>
      <c r="C14" s="95">
        <v>155</v>
      </c>
      <c r="D14" s="95">
        <v>17.399999999999999</v>
      </c>
      <c r="E14" s="95">
        <v>15.8</v>
      </c>
      <c r="F14" s="95">
        <v>21.5</v>
      </c>
      <c r="G14" s="95">
        <v>9.89</v>
      </c>
      <c r="H14" s="1"/>
      <c r="I14" s="7"/>
      <c r="J14" s="3"/>
      <c r="K14" s="3"/>
    </row>
    <row r="15" spans="1:11" ht="13.8" x14ac:dyDescent="0.25">
      <c r="A15" s="34" t="s">
        <v>121</v>
      </c>
      <c r="B15" s="95">
        <v>8.57</v>
      </c>
      <c r="C15" s="95">
        <v>161</v>
      </c>
      <c r="D15" s="95">
        <v>19.5</v>
      </c>
      <c r="E15" s="95">
        <v>14.8</v>
      </c>
      <c r="F15" s="95">
        <v>20.5</v>
      </c>
      <c r="G15" s="95">
        <v>9.15</v>
      </c>
      <c r="H15" s="1"/>
      <c r="I15" s="7"/>
      <c r="J15" s="3"/>
      <c r="K15" s="3"/>
    </row>
    <row r="16" spans="1:11" ht="16.2" x14ac:dyDescent="0.25">
      <c r="A16" s="34" t="s">
        <v>178</v>
      </c>
      <c r="B16" s="95">
        <v>11.25</v>
      </c>
      <c r="C16" s="95">
        <v>185</v>
      </c>
      <c r="D16" s="95">
        <v>20.100000000000001</v>
      </c>
      <c r="E16" s="95">
        <v>18.3</v>
      </c>
      <c r="F16" s="95">
        <v>21.25</v>
      </c>
      <c r="G16" s="95">
        <v>12</v>
      </c>
      <c r="H16" s="1"/>
      <c r="I16" s="7"/>
      <c r="J16" s="3"/>
      <c r="K16" s="3"/>
    </row>
    <row r="17" spans="1:11" ht="16.2" x14ac:dyDescent="0.25">
      <c r="A17" s="34" t="s">
        <v>179</v>
      </c>
      <c r="B17" s="95">
        <v>13.85</v>
      </c>
      <c r="C17" s="95">
        <v>220</v>
      </c>
      <c r="D17" s="95">
        <v>24.65</v>
      </c>
      <c r="E17" s="95">
        <v>26.3</v>
      </c>
      <c r="F17" s="95">
        <v>20.75</v>
      </c>
      <c r="G17" s="95">
        <v>15.25</v>
      </c>
      <c r="H17" s="1"/>
      <c r="I17" s="7"/>
      <c r="J17" s="3"/>
      <c r="K17" s="3"/>
    </row>
    <row r="18" spans="1:11" ht="13.8" x14ac:dyDescent="0.25">
      <c r="A18" s="37"/>
      <c r="B18" s="97"/>
      <c r="C18" s="98"/>
      <c r="D18" s="99"/>
      <c r="E18" s="99"/>
      <c r="F18" s="96"/>
      <c r="G18" s="100"/>
      <c r="H18" s="3"/>
      <c r="I18" s="7"/>
      <c r="J18" s="3"/>
      <c r="K18" s="3"/>
    </row>
    <row r="19" spans="1:11" ht="13.8" x14ac:dyDescent="0.25">
      <c r="A19" s="172" t="s">
        <v>121</v>
      </c>
      <c r="B19" s="95"/>
      <c r="C19" s="95"/>
      <c r="D19" s="95"/>
      <c r="E19" s="95"/>
      <c r="F19" s="95"/>
      <c r="G19" s="95"/>
    </row>
    <row r="20" spans="1:11" ht="13.8" x14ac:dyDescent="0.25">
      <c r="A20" s="37" t="s">
        <v>58</v>
      </c>
      <c r="B20" s="95">
        <v>8.35</v>
      </c>
      <c r="C20" s="95">
        <v>148</v>
      </c>
      <c r="D20" s="95">
        <v>18.5</v>
      </c>
      <c r="E20" s="95">
        <v>14.2</v>
      </c>
      <c r="F20" s="95">
        <v>19.8</v>
      </c>
      <c r="G20" s="95">
        <v>8.84</v>
      </c>
    </row>
    <row r="21" spans="1:11" ht="13.8" x14ac:dyDescent="0.25">
      <c r="A21" s="37" t="s">
        <v>45</v>
      </c>
      <c r="B21" s="95">
        <v>8.6</v>
      </c>
      <c r="C21" s="95">
        <v>152</v>
      </c>
      <c r="D21" s="95">
        <v>17.5</v>
      </c>
      <c r="E21" s="95">
        <v>14.2</v>
      </c>
      <c r="F21" s="95">
        <v>20.399999999999999</v>
      </c>
      <c r="G21" s="95">
        <v>9.01</v>
      </c>
    </row>
    <row r="22" spans="1:11" ht="13.8" x14ac:dyDescent="0.25">
      <c r="A22" s="37" t="s">
        <v>46</v>
      </c>
      <c r="B22" s="95">
        <v>8.59</v>
      </c>
      <c r="C22" s="95">
        <v>162</v>
      </c>
      <c r="D22" s="95">
        <v>17.7</v>
      </c>
      <c r="E22" s="95">
        <v>14.3</v>
      </c>
      <c r="F22" s="95">
        <v>19.2</v>
      </c>
      <c r="G22" s="95">
        <v>8.6999999999999993</v>
      </c>
    </row>
    <row r="23" spans="1:11" ht="13.8" x14ac:dyDescent="0.25">
      <c r="A23" s="37" t="s">
        <v>47</v>
      </c>
      <c r="B23" s="95">
        <v>8.6999999999999993</v>
      </c>
      <c r="C23" s="95">
        <v>163</v>
      </c>
      <c r="D23" s="95">
        <v>17.8</v>
      </c>
      <c r="E23" s="95">
        <v>14.7</v>
      </c>
      <c r="F23" s="95">
        <v>19.600000000000001</v>
      </c>
      <c r="G23" s="95">
        <v>8.91</v>
      </c>
    </row>
    <row r="24" spans="1:11" ht="13.8" x14ac:dyDescent="0.25">
      <c r="A24" s="37" t="s">
        <v>48</v>
      </c>
      <c r="B24" s="95">
        <v>8.84</v>
      </c>
      <c r="C24" s="95">
        <v>161</v>
      </c>
      <c r="D24" s="95">
        <v>19.5</v>
      </c>
      <c r="E24" s="95">
        <v>16.100000000000001</v>
      </c>
      <c r="F24" s="95">
        <v>20.9</v>
      </c>
      <c r="G24" s="95">
        <v>8.9700000000000006</v>
      </c>
    </row>
    <row r="25" spans="1:11" ht="13.8" x14ac:dyDescent="0.25">
      <c r="A25" s="37" t="s">
        <v>49</v>
      </c>
      <c r="B25" s="95">
        <v>8.6</v>
      </c>
      <c r="C25" s="95">
        <v>190</v>
      </c>
      <c r="D25" s="95">
        <v>20.399999999999999</v>
      </c>
      <c r="E25" s="95">
        <v>16.100000000000001</v>
      </c>
      <c r="F25" s="95">
        <v>20.5</v>
      </c>
      <c r="G25" s="95">
        <v>10.4</v>
      </c>
    </row>
    <row r="26" spans="1:11" ht="13.8" x14ac:dyDescent="0.25">
      <c r="A26" s="37" t="s">
        <v>50</v>
      </c>
      <c r="B26" s="95">
        <v>8.4700000000000006</v>
      </c>
      <c r="C26" s="95" t="s">
        <v>10</v>
      </c>
      <c r="D26" s="95">
        <v>20.9</v>
      </c>
      <c r="E26" s="95">
        <v>15.7</v>
      </c>
      <c r="F26" s="95">
        <v>20.6</v>
      </c>
      <c r="G26" s="95">
        <v>10.7</v>
      </c>
    </row>
    <row r="27" spans="1:11" ht="13.8" x14ac:dyDescent="0.25">
      <c r="A27" s="37" t="s">
        <v>51</v>
      </c>
      <c r="B27" s="95">
        <v>8.35</v>
      </c>
      <c r="C27" s="95" t="s">
        <v>10</v>
      </c>
      <c r="D27" s="95">
        <v>20.3</v>
      </c>
      <c r="E27" s="95">
        <v>15.2</v>
      </c>
      <c r="F27" s="95">
        <v>20.6</v>
      </c>
      <c r="G27" s="95">
        <v>9.31</v>
      </c>
    </row>
    <row r="28" spans="1:11" ht="13.8" x14ac:dyDescent="0.25">
      <c r="A28" s="37" t="s">
        <v>52</v>
      </c>
      <c r="B28" s="95">
        <v>8.2799999999999994</v>
      </c>
      <c r="C28" s="95" t="s">
        <v>10</v>
      </c>
      <c r="D28" s="95">
        <v>20.5</v>
      </c>
      <c r="E28" s="95">
        <v>14.4</v>
      </c>
      <c r="F28" s="95">
        <v>21.1</v>
      </c>
      <c r="G28" s="95">
        <v>9.57</v>
      </c>
    </row>
    <row r="29" spans="1:11" ht="13.8" x14ac:dyDescent="0.25">
      <c r="A29" s="37" t="s">
        <v>53</v>
      </c>
      <c r="B29" s="95">
        <v>8.34</v>
      </c>
      <c r="C29" s="95" t="s">
        <v>10</v>
      </c>
      <c r="D29" s="95">
        <v>21.7</v>
      </c>
      <c r="E29" s="95">
        <v>15.2</v>
      </c>
      <c r="F29" s="95">
        <v>20.7</v>
      </c>
      <c r="G29" s="95">
        <v>10</v>
      </c>
    </row>
    <row r="30" spans="1:11" ht="13.8" x14ac:dyDescent="0.25">
      <c r="A30" s="37" t="s">
        <v>55</v>
      </c>
      <c r="B30" s="95">
        <v>8.5</v>
      </c>
      <c r="C30" s="95" t="s">
        <v>10</v>
      </c>
      <c r="D30" s="95">
        <v>23.7</v>
      </c>
      <c r="E30" s="95">
        <v>15.5</v>
      </c>
      <c r="F30" s="95">
        <v>20.7</v>
      </c>
      <c r="G30" s="95">
        <v>9.64</v>
      </c>
    </row>
    <row r="31" spans="1:11" ht="13.8" x14ac:dyDescent="0.25">
      <c r="A31" s="37" t="s">
        <v>56</v>
      </c>
      <c r="B31" s="95">
        <v>8.66</v>
      </c>
      <c r="C31" s="95">
        <v>155</v>
      </c>
      <c r="D31" s="95">
        <v>25.8</v>
      </c>
      <c r="E31" s="95">
        <v>15.1</v>
      </c>
      <c r="F31" s="95">
        <v>20.6</v>
      </c>
      <c r="G31" s="95">
        <v>8.56</v>
      </c>
    </row>
    <row r="32" spans="1:11" ht="13.8" x14ac:dyDescent="0.25">
      <c r="A32" s="37"/>
      <c r="B32" s="95"/>
      <c r="C32" s="95"/>
      <c r="D32" s="95"/>
      <c r="E32" s="95"/>
      <c r="F32" s="95"/>
      <c r="G32" s="95"/>
    </row>
    <row r="33" spans="1:7" ht="13.8" x14ac:dyDescent="0.25">
      <c r="A33" s="172" t="s">
        <v>130</v>
      </c>
      <c r="B33" s="95"/>
      <c r="C33" s="95"/>
      <c r="D33" s="95"/>
      <c r="E33" s="95"/>
      <c r="F33" s="95"/>
      <c r="G33" s="95"/>
    </row>
    <row r="34" spans="1:7" ht="13.8" x14ac:dyDescent="0.25">
      <c r="A34" s="37" t="s">
        <v>58</v>
      </c>
      <c r="B34" s="95">
        <v>9.24</v>
      </c>
      <c r="C34" s="95">
        <v>160</v>
      </c>
      <c r="D34" s="95">
        <v>23.7</v>
      </c>
      <c r="E34" s="95">
        <v>16.399999999999999</v>
      </c>
      <c r="F34" s="95">
        <v>20.5</v>
      </c>
      <c r="G34" s="95">
        <v>9.64</v>
      </c>
    </row>
    <row r="35" spans="1:7" ht="13.8" x14ac:dyDescent="0.25">
      <c r="A35" s="37" t="s">
        <v>45</v>
      </c>
      <c r="B35" s="95">
        <v>9.6300000000000008</v>
      </c>
      <c r="C35" s="95">
        <v>189</v>
      </c>
      <c r="D35" s="95">
        <v>19.100000000000001</v>
      </c>
      <c r="E35" s="95">
        <v>16.2</v>
      </c>
      <c r="F35" s="95">
        <v>20.9</v>
      </c>
      <c r="G35" s="95">
        <v>9.76</v>
      </c>
    </row>
    <row r="36" spans="1:7" ht="13.8" x14ac:dyDescent="0.25">
      <c r="A36" s="37" t="s">
        <v>46</v>
      </c>
      <c r="B36" s="95">
        <v>10.3</v>
      </c>
      <c r="C36" s="95">
        <v>199</v>
      </c>
      <c r="D36" s="95">
        <v>18.899999999999999</v>
      </c>
      <c r="E36" s="95">
        <v>18.100000000000001</v>
      </c>
      <c r="F36" s="95">
        <v>21.2</v>
      </c>
      <c r="G36" s="95">
        <v>10.7</v>
      </c>
    </row>
    <row r="37" spans="1:7" ht="13.8" x14ac:dyDescent="0.25">
      <c r="A37" s="37" t="s">
        <v>47</v>
      </c>
      <c r="B37" s="95">
        <v>10.5</v>
      </c>
      <c r="C37" s="95">
        <v>190</v>
      </c>
      <c r="D37" s="95">
        <v>19.2</v>
      </c>
      <c r="E37" s="95">
        <v>17.2</v>
      </c>
      <c r="F37" s="95">
        <v>20.399999999999999</v>
      </c>
      <c r="G37" s="95">
        <v>10.9</v>
      </c>
    </row>
    <row r="38" spans="1:7" ht="13.8" x14ac:dyDescent="0.25">
      <c r="A38" s="37" t="s">
        <v>48</v>
      </c>
      <c r="B38" s="95">
        <v>10.9</v>
      </c>
      <c r="C38" s="95">
        <v>209</v>
      </c>
      <c r="D38" s="95">
        <v>19.600000000000001</v>
      </c>
      <c r="E38" s="95">
        <v>18.8</v>
      </c>
      <c r="F38" s="95">
        <v>20.5</v>
      </c>
      <c r="G38" s="95">
        <v>12</v>
      </c>
    </row>
    <row r="39" spans="1:7" ht="13.8" x14ac:dyDescent="0.25">
      <c r="A39" s="37" t="s">
        <v>49</v>
      </c>
      <c r="B39" s="95">
        <v>12.7</v>
      </c>
      <c r="C39" s="95">
        <v>186</v>
      </c>
      <c r="D39" s="95">
        <v>21.4</v>
      </c>
      <c r="E39" s="95">
        <v>20.399999999999999</v>
      </c>
      <c r="F39" s="95">
        <v>20.5</v>
      </c>
      <c r="G39" s="95">
        <v>13.2</v>
      </c>
    </row>
    <row r="40" spans="1:7" ht="13.8" x14ac:dyDescent="0.25">
      <c r="A40" s="33" t="s">
        <v>50</v>
      </c>
      <c r="B40" s="101">
        <v>13.2</v>
      </c>
      <c r="C40" s="101" t="s">
        <v>10</v>
      </c>
      <c r="D40" s="101">
        <v>21.6</v>
      </c>
      <c r="E40" s="101">
        <v>22</v>
      </c>
      <c r="F40" s="101">
        <v>21.2</v>
      </c>
      <c r="G40" s="101">
        <v>15.7</v>
      </c>
    </row>
    <row r="41" spans="1:7" ht="16.2" x14ac:dyDescent="0.25">
      <c r="A41" s="34" t="s">
        <v>180</v>
      </c>
      <c r="B41" s="34"/>
      <c r="C41" s="34"/>
      <c r="D41" s="34"/>
      <c r="E41" s="34"/>
      <c r="F41" s="34"/>
      <c r="G41" s="34"/>
    </row>
    <row r="42" spans="1:7" ht="13.8" x14ac:dyDescent="0.25">
      <c r="A42" s="34" t="s">
        <v>44</v>
      </c>
      <c r="B42" s="102"/>
      <c r="C42" s="102"/>
      <c r="D42" s="102"/>
      <c r="E42" s="102"/>
      <c r="F42" s="102"/>
      <c r="G42" s="102"/>
    </row>
    <row r="43" spans="1:7" ht="14.4" x14ac:dyDescent="0.3">
      <c r="A43" s="34" t="s">
        <v>104</v>
      </c>
      <c r="B43" s="34"/>
      <c r="C43" s="34"/>
      <c r="D43" s="34"/>
      <c r="E43" s="34"/>
      <c r="F43" s="34"/>
      <c r="G43" s="34"/>
    </row>
    <row r="44" spans="1:7" ht="13.8" x14ac:dyDescent="0.25">
      <c r="A44" s="38" t="s">
        <v>18</v>
      </c>
      <c r="B44" s="65">
        <f ca="1">NOW()</f>
        <v>44341.37117604167</v>
      </c>
      <c r="C44" s="34"/>
      <c r="D44" s="34"/>
      <c r="E44" s="34"/>
      <c r="F44" s="34"/>
      <c r="G44" s="34"/>
    </row>
  </sheetData>
  <phoneticPr fontId="5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4"/>
  <sheetViews>
    <sheetView showGridLines="0" zoomScaleNormal="100" workbookViewId="0">
      <selection activeCell="H29" sqref="H29"/>
    </sheetView>
  </sheetViews>
  <sheetFormatPr defaultRowHeight="13.2" x14ac:dyDescent="0.25"/>
  <cols>
    <col min="1" max="2" width="11.77734375" customWidth="1"/>
    <col min="3" max="3" width="11.5546875" customWidth="1"/>
    <col min="4" max="4" width="13.77734375" customWidth="1"/>
    <col min="5" max="5" width="10.5546875" customWidth="1"/>
    <col min="6" max="7" width="10.77734375" customWidth="1"/>
    <col min="8" max="9" width="10.5546875" customWidth="1"/>
  </cols>
  <sheetData>
    <row r="1" spans="1:9" ht="13.8" x14ac:dyDescent="0.25">
      <c r="A1" s="33" t="s">
        <v>150</v>
      </c>
      <c r="B1" s="33"/>
      <c r="C1" s="33"/>
      <c r="D1" s="33"/>
      <c r="E1" s="33"/>
      <c r="F1" s="33"/>
      <c r="G1" s="33"/>
      <c r="H1" s="33"/>
      <c r="I1" s="34"/>
    </row>
    <row r="2" spans="1:9" ht="15.6" customHeight="1" x14ac:dyDescent="0.25">
      <c r="A2" s="103" t="s">
        <v>11</v>
      </c>
      <c r="B2" s="74" t="s">
        <v>35</v>
      </c>
      <c r="C2" s="74" t="s">
        <v>13</v>
      </c>
      <c r="D2" s="74" t="s">
        <v>68</v>
      </c>
      <c r="E2" s="104" t="s">
        <v>41</v>
      </c>
      <c r="F2" s="104" t="s">
        <v>36</v>
      </c>
      <c r="G2" s="74" t="s">
        <v>40</v>
      </c>
      <c r="H2" s="74" t="s">
        <v>105</v>
      </c>
      <c r="I2" s="105" t="s">
        <v>39</v>
      </c>
    </row>
    <row r="3" spans="1:9" ht="15.6" customHeight="1" x14ac:dyDescent="0.25">
      <c r="A3" s="78" t="s">
        <v>12</v>
      </c>
      <c r="B3" s="41" t="s">
        <v>106</v>
      </c>
      <c r="C3" s="41" t="s">
        <v>107</v>
      </c>
      <c r="D3" s="41" t="s">
        <v>108</v>
      </c>
      <c r="E3" s="41" t="s">
        <v>108</v>
      </c>
      <c r="F3" s="41" t="s">
        <v>109</v>
      </c>
      <c r="G3" s="41" t="s">
        <v>110</v>
      </c>
      <c r="H3" s="41"/>
      <c r="I3" s="41" t="s">
        <v>111</v>
      </c>
    </row>
    <row r="4" spans="1:9" ht="14.4" x14ac:dyDescent="0.3">
      <c r="A4" s="34"/>
      <c r="B4" s="53" t="s">
        <v>141</v>
      </c>
      <c r="C4" s="106"/>
      <c r="D4" s="106"/>
      <c r="E4" s="106"/>
      <c r="F4" s="106"/>
      <c r="G4" s="106"/>
      <c r="H4" s="106"/>
      <c r="I4" s="106"/>
    </row>
    <row r="5" spans="1:9" ht="13.8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ht="13.8" x14ac:dyDescent="0.25">
      <c r="A6" s="34" t="s">
        <v>43</v>
      </c>
      <c r="B6" s="95">
        <v>53.2</v>
      </c>
      <c r="C6" s="95">
        <v>54.5</v>
      </c>
      <c r="D6" s="95">
        <v>86.12</v>
      </c>
      <c r="E6" s="95">
        <v>58.68</v>
      </c>
      <c r="F6" s="95">
        <v>77.239999999999995</v>
      </c>
      <c r="G6" s="95">
        <v>60.76</v>
      </c>
      <c r="H6" s="95">
        <v>51.52</v>
      </c>
      <c r="I6" s="95">
        <v>51.34</v>
      </c>
    </row>
    <row r="7" spans="1:9" ht="13.8" x14ac:dyDescent="0.25">
      <c r="A7" s="34" t="s">
        <v>54</v>
      </c>
      <c r="B7" s="95">
        <v>51.9</v>
      </c>
      <c r="C7" s="95">
        <v>53.22</v>
      </c>
      <c r="D7" s="95">
        <v>83.2</v>
      </c>
      <c r="E7" s="95">
        <v>57.19</v>
      </c>
      <c r="F7" s="95">
        <v>100.15</v>
      </c>
      <c r="G7" s="95">
        <v>56.09</v>
      </c>
      <c r="H7" s="95">
        <v>48.11</v>
      </c>
      <c r="I7" s="95">
        <v>50.33</v>
      </c>
    </row>
    <row r="8" spans="1:9" ht="13.8" x14ac:dyDescent="0.25">
      <c r="A8" s="34" t="s">
        <v>69</v>
      </c>
      <c r="B8" s="95">
        <v>47.13</v>
      </c>
      <c r="C8" s="95">
        <v>48.6</v>
      </c>
      <c r="D8" s="95">
        <v>65.87</v>
      </c>
      <c r="E8" s="95">
        <v>56.17</v>
      </c>
      <c r="F8" s="95">
        <v>91.83</v>
      </c>
      <c r="G8" s="95">
        <v>46.66</v>
      </c>
      <c r="H8" s="95">
        <v>51.8</v>
      </c>
      <c r="I8" s="95">
        <v>43.24</v>
      </c>
    </row>
    <row r="9" spans="1:9" ht="13.8" x14ac:dyDescent="0.25">
      <c r="A9" s="34" t="s">
        <v>75</v>
      </c>
      <c r="B9" s="95">
        <v>38.229999999999997</v>
      </c>
      <c r="C9" s="95">
        <v>60.66</v>
      </c>
      <c r="D9" s="95">
        <v>59.12</v>
      </c>
      <c r="E9" s="95">
        <v>43.7</v>
      </c>
      <c r="F9" s="95">
        <v>68.23</v>
      </c>
      <c r="G9" s="95">
        <v>39.43</v>
      </c>
      <c r="H9" s="95">
        <v>43.93</v>
      </c>
      <c r="I9" s="95">
        <v>39.76</v>
      </c>
    </row>
    <row r="10" spans="1:9" ht="13.8" x14ac:dyDescent="0.25">
      <c r="A10" s="34" t="s">
        <v>78</v>
      </c>
      <c r="B10" s="95">
        <v>31.6</v>
      </c>
      <c r="C10" s="95">
        <v>45.74</v>
      </c>
      <c r="D10" s="95">
        <v>66.72</v>
      </c>
      <c r="E10" s="95">
        <v>37.81</v>
      </c>
      <c r="F10" s="95">
        <v>57.96</v>
      </c>
      <c r="G10" s="95">
        <v>37.479999999999997</v>
      </c>
      <c r="H10" s="95">
        <v>33.43</v>
      </c>
      <c r="I10" s="95">
        <v>31.36</v>
      </c>
    </row>
    <row r="11" spans="1:9" ht="13.8" x14ac:dyDescent="0.25">
      <c r="A11" s="34" t="s">
        <v>79</v>
      </c>
      <c r="B11" s="95">
        <v>29.86</v>
      </c>
      <c r="C11" s="95">
        <v>45.87</v>
      </c>
      <c r="D11" s="95">
        <v>57.81</v>
      </c>
      <c r="E11" s="95">
        <v>35.270000000000003</v>
      </c>
      <c r="F11" s="95">
        <v>58.26</v>
      </c>
      <c r="G11" s="95">
        <v>39.25</v>
      </c>
      <c r="H11" s="95">
        <v>32.229999999999997</v>
      </c>
      <c r="I11" s="95">
        <v>30.07</v>
      </c>
    </row>
    <row r="12" spans="1:9" ht="13.8" x14ac:dyDescent="0.25">
      <c r="A12" s="34" t="s">
        <v>91</v>
      </c>
      <c r="B12" s="95">
        <v>32.549999999999997</v>
      </c>
      <c r="C12" s="95">
        <v>40.92</v>
      </c>
      <c r="D12" s="95">
        <v>53.54</v>
      </c>
      <c r="E12" s="95">
        <v>38.729999999999997</v>
      </c>
      <c r="F12" s="95">
        <v>66.73</v>
      </c>
      <c r="G12" s="95">
        <v>37.43</v>
      </c>
      <c r="H12" s="95">
        <v>33.07</v>
      </c>
      <c r="I12" s="95">
        <v>34.75</v>
      </c>
    </row>
    <row r="13" spans="1:9" ht="13.8" x14ac:dyDescent="0.25">
      <c r="A13" s="34" t="s">
        <v>93</v>
      </c>
      <c r="B13" s="95">
        <v>30.04</v>
      </c>
      <c r="C13" s="95">
        <v>31.87</v>
      </c>
      <c r="D13" s="95">
        <v>54.57</v>
      </c>
      <c r="E13" s="95">
        <v>38.270000000000003</v>
      </c>
      <c r="F13" s="95">
        <v>66.72</v>
      </c>
      <c r="G13" s="95">
        <v>30.35</v>
      </c>
      <c r="H13" s="95">
        <v>34.159999999999997</v>
      </c>
      <c r="I13" s="95">
        <v>31.21</v>
      </c>
    </row>
    <row r="14" spans="1:9" ht="13.8" x14ac:dyDescent="0.25">
      <c r="A14" s="34" t="s">
        <v>119</v>
      </c>
      <c r="B14" s="95">
        <v>28.26</v>
      </c>
      <c r="C14" s="95">
        <v>35.14</v>
      </c>
      <c r="D14" s="95">
        <v>53.28</v>
      </c>
      <c r="E14" s="95">
        <v>36.090000000000003</v>
      </c>
      <c r="F14" s="95">
        <v>64.72</v>
      </c>
      <c r="G14" s="95">
        <v>26.93</v>
      </c>
      <c r="H14" s="95">
        <v>31.65</v>
      </c>
      <c r="I14" s="95">
        <v>33.11</v>
      </c>
    </row>
    <row r="15" spans="1:9" ht="13.8" x14ac:dyDescent="0.25">
      <c r="A15" s="34" t="s">
        <v>121</v>
      </c>
      <c r="B15" s="95">
        <v>29.67</v>
      </c>
      <c r="C15" s="95">
        <v>40.18</v>
      </c>
      <c r="D15" s="95">
        <v>65.03</v>
      </c>
      <c r="E15" s="95">
        <v>37.869999999999997</v>
      </c>
      <c r="F15" s="95">
        <v>65.569999999999993</v>
      </c>
      <c r="G15" s="95">
        <v>39.47</v>
      </c>
      <c r="H15" s="95">
        <v>35.75</v>
      </c>
      <c r="I15" s="95">
        <v>38.369999999999997</v>
      </c>
    </row>
    <row r="16" spans="1:9" ht="16.2" x14ac:dyDescent="0.25">
      <c r="A16" s="34" t="s">
        <v>124</v>
      </c>
      <c r="B16" s="95">
        <v>55</v>
      </c>
      <c r="C16" s="95">
        <v>65</v>
      </c>
      <c r="D16" s="95">
        <v>86</v>
      </c>
      <c r="E16" s="95">
        <v>61</v>
      </c>
      <c r="F16" s="95">
        <v>105</v>
      </c>
      <c r="G16" s="95">
        <v>44</v>
      </c>
      <c r="H16" s="95">
        <v>43.5</v>
      </c>
      <c r="I16" s="95">
        <v>39</v>
      </c>
    </row>
    <row r="17" spans="1:9" ht="16.2" x14ac:dyDescent="0.25">
      <c r="A17" s="34" t="s">
        <v>164</v>
      </c>
      <c r="B17" s="95">
        <v>65</v>
      </c>
      <c r="C17" s="95">
        <v>80.099999999999994</v>
      </c>
      <c r="D17" s="95">
        <v>90</v>
      </c>
      <c r="E17" s="95">
        <v>71</v>
      </c>
      <c r="F17" s="95">
        <v>120</v>
      </c>
      <c r="G17" s="95">
        <v>78</v>
      </c>
      <c r="H17" s="95">
        <v>56</v>
      </c>
      <c r="I17" s="95">
        <v>58</v>
      </c>
    </row>
    <row r="18" spans="1:9" ht="13.8" x14ac:dyDescent="0.25">
      <c r="A18" s="34"/>
      <c r="B18" s="50"/>
      <c r="C18" s="98"/>
      <c r="D18" s="107"/>
      <c r="E18" s="107"/>
      <c r="F18" s="107"/>
      <c r="G18" s="107"/>
      <c r="H18" s="34"/>
      <c r="I18" s="34"/>
    </row>
    <row r="19" spans="1:9" ht="13.8" x14ac:dyDescent="0.25">
      <c r="A19" s="170" t="s">
        <v>121</v>
      </c>
      <c r="B19" s="95"/>
      <c r="C19" s="95"/>
      <c r="D19" s="95"/>
      <c r="E19" s="95"/>
      <c r="F19" s="95"/>
      <c r="G19" s="95"/>
      <c r="H19" s="95"/>
      <c r="I19" s="95"/>
    </row>
    <row r="20" spans="1:9" ht="13.8" x14ac:dyDescent="0.25">
      <c r="A20" s="37" t="s">
        <v>45</v>
      </c>
      <c r="B20" s="95">
        <v>30.14</v>
      </c>
      <c r="C20" s="95">
        <v>37.94</v>
      </c>
      <c r="D20" s="95">
        <v>56</v>
      </c>
      <c r="E20" s="95">
        <v>36.31</v>
      </c>
      <c r="F20" s="95">
        <v>61.5</v>
      </c>
      <c r="G20" s="95">
        <v>28.3</v>
      </c>
      <c r="H20" s="95" t="s">
        <v>10</v>
      </c>
      <c r="I20" s="95" t="s">
        <v>10</v>
      </c>
    </row>
    <row r="21" spans="1:9" ht="13.8" x14ac:dyDescent="0.25">
      <c r="A21" s="37" t="s">
        <v>46</v>
      </c>
      <c r="B21" s="95">
        <v>30.62</v>
      </c>
      <c r="C21" s="95">
        <v>38.4</v>
      </c>
      <c r="D21" s="95">
        <v>56</v>
      </c>
      <c r="E21" s="95">
        <v>36.15</v>
      </c>
      <c r="F21" s="95">
        <v>63.1</v>
      </c>
      <c r="G21" s="95">
        <v>30.36</v>
      </c>
      <c r="H21" s="95" t="s">
        <v>10</v>
      </c>
      <c r="I21" s="95">
        <v>35</v>
      </c>
    </row>
    <row r="22" spans="1:9" ht="13.8" x14ac:dyDescent="0.25">
      <c r="A22" s="37" t="s">
        <v>47</v>
      </c>
      <c r="B22" s="95">
        <v>32.270000000000003</v>
      </c>
      <c r="C22" s="95">
        <v>40.25</v>
      </c>
      <c r="D22" s="95">
        <v>76</v>
      </c>
      <c r="E22" s="95">
        <v>38.06</v>
      </c>
      <c r="F22" s="95">
        <v>60.13</v>
      </c>
      <c r="G22" s="95">
        <v>31.25</v>
      </c>
      <c r="H22" s="95" t="s">
        <v>10</v>
      </c>
      <c r="I22" s="95" t="s">
        <v>10</v>
      </c>
    </row>
    <row r="23" spans="1:9" ht="13.8" x14ac:dyDescent="0.25">
      <c r="A23" s="37" t="s">
        <v>48</v>
      </c>
      <c r="B23" s="95">
        <v>33.04</v>
      </c>
      <c r="C23" s="95">
        <v>40.1</v>
      </c>
      <c r="D23" s="95">
        <v>70</v>
      </c>
      <c r="E23" s="95">
        <v>37.9</v>
      </c>
      <c r="F23" s="95">
        <v>59</v>
      </c>
      <c r="G23" s="95">
        <v>33.299999999999997</v>
      </c>
      <c r="H23" s="95" t="s">
        <v>10</v>
      </c>
      <c r="I23" s="95">
        <v>36.14</v>
      </c>
    </row>
    <row r="24" spans="1:9" ht="13.8" x14ac:dyDescent="0.25">
      <c r="A24" s="37" t="s">
        <v>49</v>
      </c>
      <c r="B24" s="95">
        <v>30.26</v>
      </c>
      <c r="C24" s="95">
        <v>38.5</v>
      </c>
      <c r="D24" s="95">
        <v>70</v>
      </c>
      <c r="E24" s="95">
        <v>35.5</v>
      </c>
      <c r="F24" s="95">
        <v>59</v>
      </c>
      <c r="G24" s="95">
        <v>36</v>
      </c>
      <c r="H24" s="95" t="s">
        <v>10</v>
      </c>
      <c r="I24" s="95">
        <v>38.21</v>
      </c>
    </row>
    <row r="25" spans="1:9" ht="13.8" x14ac:dyDescent="0.25">
      <c r="A25" s="37" t="s">
        <v>50</v>
      </c>
      <c r="B25" s="95">
        <v>27.04</v>
      </c>
      <c r="C25" s="95">
        <v>36.19</v>
      </c>
      <c r="D25" s="95">
        <v>76</v>
      </c>
      <c r="E25" s="95">
        <v>32.880000000000003</v>
      </c>
      <c r="F25" s="95">
        <v>59.75</v>
      </c>
      <c r="G25" s="95">
        <v>36.94</v>
      </c>
      <c r="H25" s="95" t="s">
        <v>10</v>
      </c>
      <c r="I25" s="95">
        <v>35.5</v>
      </c>
    </row>
    <row r="26" spans="1:9" ht="13.8" x14ac:dyDescent="0.25">
      <c r="A26" s="37" t="s">
        <v>51</v>
      </c>
      <c r="B26" s="95">
        <v>25.69</v>
      </c>
      <c r="C26" s="95">
        <v>37.31</v>
      </c>
      <c r="D26" s="95">
        <v>76</v>
      </c>
      <c r="E26" s="95">
        <v>32.380000000000003</v>
      </c>
      <c r="F26" s="95">
        <v>59.5</v>
      </c>
      <c r="G26" s="95">
        <v>44.88</v>
      </c>
      <c r="H26" s="95">
        <v>32</v>
      </c>
      <c r="I26" s="95">
        <v>37.18</v>
      </c>
    </row>
    <row r="27" spans="1:9" ht="13.8" x14ac:dyDescent="0.25">
      <c r="A27" s="37" t="s">
        <v>52</v>
      </c>
      <c r="B27" s="95">
        <v>25.27</v>
      </c>
      <c r="C27" s="95">
        <v>37.200000000000003</v>
      </c>
      <c r="D27" s="95">
        <v>74</v>
      </c>
      <c r="E27" s="95">
        <v>32.4</v>
      </c>
      <c r="F27" s="95">
        <v>62.1</v>
      </c>
      <c r="G27" s="95">
        <v>47.64</v>
      </c>
      <c r="H27" s="95">
        <v>35.5</v>
      </c>
      <c r="I27" s="95">
        <v>43.95</v>
      </c>
    </row>
    <row r="28" spans="1:9" ht="13.8" x14ac:dyDescent="0.25">
      <c r="A28" s="37" t="s">
        <v>53</v>
      </c>
      <c r="B28" s="95">
        <v>26.61</v>
      </c>
      <c r="C28" s="95">
        <v>36.75</v>
      </c>
      <c r="D28" s="95">
        <v>56</v>
      </c>
      <c r="E28" s="95">
        <v>36.630000000000003</v>
      </c>
      <c r="F28" s="95">
        <v>84.75</v>
      </c>
      <c r="G28" s="95">
        <v>51.34</v>
      </c>
      <c r="H28" s="95">
        <v>36.5</v>
      </c>
      <c r="I28" s="95">
        <v>41.92</v>
      </c>
    </row>
    <row r="29" spans="1:9" ht="13.8" x14ac:dyDescent="0.25">
      <c r="A29" s="37" t="s">
        <v>55</v>
      </c>
      <c r="B29" s="95">
        <v>28.71</v>
      </c>
      <c r="C29" s="95">
        <v>43</v>
      </c>
      <c r="D29" s="95">
        <v>56.4</v>
      </c>
      <c r="E29" s="95">
        <v>40.5</v>
      </c>
      <c r="F29" s="95">
        <v>85</v>
      </c>
      <c r="G29" s="95">
        <v>45.45</v>
      </c>
      <c r="H29" s="95" t="s">
        <v>10</v>
      </c>
      <c r="I29" s="95">
        <v>39.43</v>
      </c>
    </row>
    <row r="30" spans="1:9" ht="13.8" x14ac:dyDescent="0.25">
      <c r="A30" s="37" t="s">
        <v>56</v>
      </c>
      <c r="B30" s="95">
        <v>32.130000000000003</v>
      </c>
      <c r="C30" s="95">
        <v>46.81</v>
      </c>
      <c r="D30" s="95">
        <v>57</v>
      </c>
      <c r="E30" s="95">
        <v>47.81</v>
      </c>
      <c r="F30" s="95">
        <v>90</v>
      </c>
      <c r="G30" s="95">
        <v>44.75</v>
      </c>
      <c r="H30" s="95">
        <v>39</v>
      </c>
      <c r="I30" s="95">
        <v>39.33</v>
      </c>
    </row>
    <row r="31" spans="1:9" ht="13.8" x14ac:dyDescent="0.25">
      <c r="A31" s="37" t="s">
        <v>58</v>
      </c>
      <c r="B31" s="95">
        <v>34.200000000000003</v>
      </c>
      <c r="C31" s="95">
        <v>49.69</v>
      </c>
      <c r="D31" s="95">
        <v>57</v>
      </c>
      <c r="E31" s="95">
        <v>47.94</v>
      </c>
      <c r="F31" s="95">
        <v>90</v>
      </c>
      <c r="G31" s="95">
        <v>43.38</v>
      </c>
      <c r="H31" s="95" t="s">
        <v>10</v>
      </c>
      <c r="I31" s="95">
        <v>37</v>
      </c>
    </row>
    <row r="32" spans="1:9" ht="13.8" x14ac:dyDescent="0.25">
      <c r="A32" s="37"/>
      <c r="B32" s="95"/>
      <c r="C32" s="95"/>
      <c r="D32" s="95"/>
      <c r="E32" s="95"/>
      <c r="F32" s="95"/>
      <c r="G32" s="95"/>
      <c r="H32" s="95"/>
      <c r="I32" s="95"/>
    </row>
    <row r="33" spans="1:9" ht="13.8" x14ac:dyDescent="0.25">
      <c r="A33" s="170" t="s">
        <v>130</v>
      </c>
      <c r="B33" s="95"/>
      <c r="C33" s="95"/>
      <c r="D33" s="95"/>
      <c r="E33" s="95"/>
      <c r="F33" s="95"/>
      <c r="G33" s="95"/>
      <c r="H33" s="95"/>
      <c r="I33" s="95"/>
    </row>
    <row r="34" spans="1:9" ht="13.8" x14ac:dyDescent="0.25">
      <c r="A34" s="37" t="s">
        <v>45</v>
      </c>
      <c r="B34" s="95">
        <v>33.92</v>
      </c>
      <c r="C34" s="95">
        <v>48.35</v>
      </c>
      <c r="D34" s="95">
        <v>57</v>
      </c>
      <c r="E34" s="95">
        <v>44.35</v>
      </c>
      <c r="F34" s="95">
        <v>93</v>
      </c>
      <c r="G34" s="95">
        <v>43.15</v>
      </c>
      <c r="H34" s="95" t="s">
        <v>10</v>
      </c>
      <c r="I34" s="95">
        <v>35.57</v>
      </c>
    </row>
    <row r="35" spans="1:9" ht="13.8" x14ac:dyDescent="0.25">
      <c r="A35" s="37" t="s">
        <v>46</v>
      </c>
      <c r="B35" s="95">
        <v>37.79</v>
      </c>
      <c r="C35" s="95">
        <v>54.44</v>
      </c>
      <c r="D35" s="95" t="s">
        <v>10</v>
      </c>
      <c r="E35" s="95">
        <v>49.5</v>
      </c>
      <c r="F35" s="95">
        <v>98.75</v>
      </c>
      <c r="G35" s="95">
        <v>42.53</v>
      </c>
      <c r="H35" s="95">
        <v>41</v>
      </c>
      <c r="I35" s="95">
        <v>33.5</v>
      </c>
    </row>
    <row r="36" spans="1:9" ht="13.8" x14ac:dyDescent="0.25">
      <c r="A36" s="37" t="s">
        <v>47</v>
      </c>
      <c r="B36" s="95">
        <v>40.85</v>
      </c>
      <c r="C36" s="95">
        <v>59.2</v>
      </c>
      <c r="D36" s="95" t="s">
        <v>10</v>
      </c>
      <c r="E36" s="95">
        <v>51.65</v>
      </c>
      <c r="F36" s="95">
        <v>100</v>
      </c>
      <c r="G36" s="95">
        <v>41.48</v>
      </c>
      <c r="H36" s="95">
        <v>41</v>
      </c>
      <c r="I36" s="95">
        <v>36.380000000000003</v>
      </c>
    </row>
    <row r="37" spans="1:9" ht="13.8" x14ac:dyDescent="0.25">
      <c r="A37" s="37" t="s">
        <v>48</v>
      </c>
      <c r="B37" s="95">
        <v>44.31</v>
      </c>
      <c r="C37" s="95">
        <v>63.19</v>
      </c>
      <c r="D37" s="95" t="s">
        <v>10</v>
      </c>
      <c r="E37" s="95">
        <v>53.31</v>
      </c>
      <c r="F37" s="95">
        <v>90</v>
      </c>
      <c r="G37" s="95">
        <v>44.23</v>
      </c>
      <c r="H37" s="95" t="s">
        <v>10</v>
      </c>
      <c r="I37" s="95">
        <v>47.02</v>
      </c>
    </row>
    <row r="38" spans="1:9" ht="13.8" x14ac:dyDescent="0.25">
      <c r="A38" s="37" t="s">
        <v>49</v>
      </c>
      <c r="B38" s="95">
        <v>49.16</v>
      </c>
      <c r="C38" s="95">
        <v>75.5</v>
      </c>
      <c r="D38" s="95" t="s">
        <v>10</v>
      </c>
      <c r="E38" s="95">
        <v>59</v>
      </c>
      <c r="F38" s="95">
        <v>92</v>
      </c>
      <c r="G38" s="95">
        <v>44.64</v>
      </c>
      <c r="H38" s="95">
        <v>51</v>
      </c>
      <c r="I38" s="95">
        <v>54.5</v>
      </c>
    </row>
    <row r="39" spans="1:9" ht="13.8" x14ac:dyDescent="0.25">
      <c r="A39" s="37" t="s">
        <v>50</v>
      </c>
      <c r="B39" s="95">
        <v>59.25</v>
      </c>
      <c r="C39" s="74">
        <v>86.75</v>
      </c>
      <c r="D39" s="95" t="s">
        <v>10</v>
      </c>
      <c r="E39" s="95">
        <v>72.75</v>
      </c>
      <c r="F39" s="95">
        <v>110</v>
      </c>
      <c r="G39" s="95">
        <v>54</v>
      </c>
      <c r="H39" s="95">
        <v>56.5</v>
      </c>
      <c r="I39" s="95">
        <v>57</v>
      </c>
    </row>
    <row r="40" spans="1:9" ht="13.8" x14ac:dyDescent="0.25">
      <c r="A40" s="33" t="s">
        <v>51</v>
      </c>
      <c r="B40" s="101">
        <v>62.88</v>
      </c>
      <c r="C40" s="41">
        <v>91.625</v>
      </c>
      <c r="D40" s="101">
        <v>83</v>
      </c>
      <c r="E40" s="101">
        <v>81.625</v>
      </c>
      <c r="F40" s="101">
        <v>108.67</v>
      </c>
      <c r="G40" s="101">
        <v>78</v>
      </c>
      <c r="H40" s="101">
        <v>55.5</v>
      </c>
      <c r="I40" s="101">
        <v>58.75</v>
      </c>
    </row>
    <row r="41" spans="1:9" ht="16.2" x14ac:dyDescent="0.25">
      <c r="A41" s="73" t="s">
        <v>140</v>
      </c>
      <c r="B41" s="108"/>
      <c r="C41" s="108"/>
      <c r="D41" s="108"/>
      <c r="E41" s="108"/>
      <c r="F41" s="108"/>
      <c r="G41" s="108"/>
      <c r="H41" s="108"/>
      <c r="I41" s="108"/>
    </row>
    <row r="42" spans="1:9" ht="16.2" x14ac:dyDescent="0.25">
      <c r="A42" s="34" t="s">
        <v>154</v>
      </c>
      <c r="B42" s="108"/>
      <c r="C42" s="108"/>
      <c r="D42" s="108"/>
      <c r="E42" s="108"/>
      <c r="F42" s="108"/>
      <c r="G42" s="108"/>
      <c r="H42" s="108"/>
      <c r="I42" s="108"/>
    </row>
    <row r="43" spans="1:9" ht="14.4" x14ac:dyDescent="0.3">
      <c r="A43" s="34" t="s">
        <v>159</v>
      </c>
      <c r="B43" s="34"/>
      <c r="C43" s="34"/>
      <c r="D43" s="34"/>
      <c r="E43" s="34"/>
      <c r="F43" s="108"/>
      <c r="G43" s="34"/>
      <c r="H43" s="34"/>
      <c r="I43" s="34"/>
    </row>
    <row r="44" spans="1:9" ht="13.8" x14ac:dyDescent="0.25">
      <c r="A44" s="38" t="s">
        <v>18</v>
      </c>
      <c r="B44" s="65">
        <f ca="1">NOW()</f>
        <v>44341.37117604167</v>
      </c>
      <c r="C44" s="34"/>
      <c r="D44" s="34"/>
      <c r="E44" s="34"/>
      <c r="F44" s="34"/>
      <c r="G44" s="34"/>
      <c r="H44" s="34"/>
      <c r="I44" s="34"/>
    </row>
    <row r="45" spans="1:9" ht="15.6" x14ac:dyDescent="0.3">
      <c r="C45" s="14"/>
      <c r="G45" s="14"/>
      <c r="H45" s="14"/>
      <c r="I45" s="14"/>
    </row>
    <row r="46" spans="1:9" ht="15.6" x14ac:dyDescent="0.3">
      <c r="C46" s="14"/>
      <c r="G46" s="14"/>
      <c r="H46" s="14"/>
      <c r="I46" s="14"/>
    </row>
    <row r="47" spans="1:9" ht="15.6" x14ac:dyDescent="0.3">
      <c r="C47" s="14"/>
      <c r="G47" s="14"/>
      <c r="H47" s="14"/>
      <c r="I47" s="14"/>
    </row>
    <row r="48" spans="1:9" ht="15.6" x14ac:dyDescent="0.3">
      <c r="C48" s="14"/>
      <c r="G48" s="14"/>
      <c r="H48" s="14"/>
      <c r="I48" s="14"/>
    </row>
    <row r="49" spans="3:9" ht="15.6" x14ac:dyDescent="0.3">
      <c r="C49" s="14"/>
      <c r="G49" s="14"/>
      <c r="H49" s="14"/>
      <c r="I49" s="14"/>
    </row>
    <row r="50" spans="3:9" ht="15.6" x14ac:dyDescent="0.3">
      <c r="C50" s="14"/>
      <c r="G50" s="14"/>
      <c r="H50" s="14"/>
      <c r="I50" s="14"/>
    </row>
    <row r="51" spans="3:9" ht="15.6" x14ac:dyDescent="0.3">
      <c r="C51" s="14"/>
      <c r="G51" s="14"/>
      <c r="H51" s="14"/>
      <c r="I51" s="14"/>
    </row>
    <row r="52" spans="3:9" ht="15.6" x14ac:dyDescent="0.3">
      <c r="C52" s="14"/>
      <c r="G52" s="14"/>
      <c r="H52" s="14"/>
      <c r="I52" s="14"/>
    </row>
    <row r="53" spans="3:9" ht="15.6" x14ac:dyDescent="0.3">
      <c r="C53" s="14"/>
      <c r="G53" s="14"/>
      <c r="H53" s="14"/>
      <c r="I53" s="14"/>
    </row>
    <row r="54" spans="3:9" ht="15.6" x14ac:dyDescent="0.3">
      <c r="C54" s="14"/>
      <c r="G54" s="14"/>
      <c r="H54" s="14"/>
      <c r="I54" s="14"/>
    </row>
    <row r="55" spans="3:9" ht="15.6" x14ac:dyDescent="0.3">
      <c r="C55" s="14"/>
      <c r="G55" s="14"/>
      <c r="H55" s="14"/>
      <c r="I55" s="14"/>
    </row>
    <row r="56" spans="3:9" ht="15.6" x14ac:dyDescent="0.3">
      <c r="C56" s="14"/>
      <c r="G56" s="14"/>
      <c r="H56" s="14"/>
      <c r="I56" s="14"/>
    </row>
    <row r="57" spans="3:9" ht="15.6" x14ac:dyDescent="0.3">
      <c r="C57" s="14"/>
      <c r="G57" s="14"/>
      <c r="H57" s="14"/>
      <c r="I57" s="14"/>
    </row>
    <row r="58" spans="3:9" ht="15.6" x14ac:dyDescent="0.3">
      <c r="C58" s="14"/>
      <c r="G58" s="14"/>
      <c r="H58" s="14"/>
      <c r="I58" s="14"/>
    </row>
    <row r="59" spans="3:9" ht="15.6" x14ac:dyDescent="0.3">
      <c r="C59" s="14"/>
      <c r="G59" s="14"/>
      <c r="H59" s="14"/>
      <c r="I59" s="14"/>
    </row>
    <row r="60" spans="3:9" ht="15.6" x14ac:dyDescent="0.3">
      <c r="C60" s="14"/>
      <c r="G60" s="14"/>
      <c r="H60" s="14"/>
      <c r="I60" s="14"/>
    </row>
    <row r="61" spans="3:9" ht="15.6" x14ac:dyDescent="0.3">
      <c r="C61" s="14"/>
      <c r="H61" s="14"/>
      <c r="I61" s="14"/>
    </row>
    <row r="62" spans="3:9" ht="15.6" x14ac:dyDescent="0.3">
      <c r="C62" s="14"/>
      <c r="H62" s="14"/>
      <c r="I62" s="14"/>
    </row>
    <row r="63" spans="3:9" ht="15.6" x14ac:dyDescent="0.3">
      <c r="C63" s="14"/>
      <c r="F63" s="16"/>
      <c r="H63" s="14"/>
      <c r="I63" s="14"/>
    </row>
    <row r="64" spans="3:9" ht="15.6" x14ac:dyDescent="0.3">
      <c r="F64" s="16"/>
      <c r="H64" s="14"/>
      <c r="I64" s="14"/>
    </row>
  </sheetData>
  <phoneticPr fontId="5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6"/>
  <sheetViews>
    <sheetView showGridLines="0" zoomScaleNormal="100" workbookViewId="0">
      <selection activeCell="B49" sqref="B49"/>
    </sheetView>
  </sheetViews>
  <sheetFormatPr defaultRowHeight="13.2" x14ac:dyDescent="0.25"/>
  <cols>
    <col min="1" max="1" width="11.77734375" customWidth="1"/>
    <col min="2" max="7" width="13.77734375" customWidth="1"/>
    <col min="8" max="8" width="10.109375" bestFit="1" customWidth="1"/>
  </cols>
  <sheetData>
    <row r="1" spans="1:7" ht="13.8" x14ac:dyDescent="0.25">
      <c r="A1" s="33" t="s">
        <v>151</v>
      </c>
      <c r="B1" s="33"/>
      <c r="C1" s="33"/>
      <c r="D1" s="33"/>
      <c r="E1" s="33"/>
      <c r="F1" s="33"/>
      <c r="G1" s="33"/>
    </row>
    <row r="2" spans="1:7" ht="15.6" customHeight="1" x14ac:dyDescent="0.25">
      <c r="A2" s="37" t="s">
        <v>11</v>
      </c>
      <c r="B2" s="74" t="s">
        <v>35</v>
      </c>
      <c r="C2" s="109" t="s">
        <v>13</v>
      </c>
      <c r="D2" s="109" t="s">
        <v>68</v>
      </c>
      <c r="E2" s="109" t="s">
        <v>36</v>
      </c>
      <c r="F2" s="74" t="s">
        <v>37</v>
      </c>
      <c r="G2" s="36" t="s">
        <v>38</v>
      </c>
    </row>
    <row r="3" spans="1:7" ht="15.6" customHeight="1" x14ac:dyDescent="0.25">
      <c r="A3" s="33" t="s">
        <v>12</v>
      </c>
      <c r="B3" s="41" t="s">
        <v>112</v>
      </c>
      <c r="C3" s="41" t="s">
        <v>113</v>
      </c>
      <c r="D3" s="41" t="s">
        <v>114</v>
      </c>
      <c r="E3" s="41" t="s">
        <v>115</v>
      </c>
      <c r="F3" s="41" t="s">
        <v>116</v>
      </c>
      <c r="G3" s="41" t="s">
        <v>117</v>
      </c>
    </row>
    <row r="4" spans="1:7" ht="14.4" x14ac:dyDescent="0.3">
      <c r="A4" s="34"/>
      <c r="B4" s="53" t="s">
        <v>142</v>
      </c>
      <c r="C4" s="106"/>
      <c r="D4" s="106"/>
      <c r="E4" s="106"/>
      <c r="F4" s="106"/>
      <c r="G4" s="106"/>
    </row>
    <row r="5" spans="1:7" ht="13.8" x14ac:dyDescent="0.25">
      <c r="A5" s="34"/>
      <c r="B5" s="34"/>
      <c r="C5" s="34"/>
      <c r="D5" s="34"/>
      <c r="E5" s="34"/>
      <c r="F5" s="34"/>
      <c r="G5" s="34"/>
    </row>
    <row r="6" spans="1:7" ht="13.8" x14ac:dyDescent="0.25">
      <c r="A6" s="34" t="s">
        <v>43</v>
      </c>
      <c r="B6" s="95">
        <v>345.52</v>
      </c>
      <c r="C6" s="95">
        <v>273.83999999999997</v>
      </c>
      <c r="D6" s="95">
        <v>219.72</v>
      </c>
      <c r="E6" s="110" t="s">
        <v>10</v>
      </c>
      <c r="F6" s="95">
        <v>263.63</v>
      </c>
      <c r="G6" s="95">
        <v>240.65</v>
      </c>
    </row>
    <row r="7" spans="1:7" ht="13.8" x14ac:dyDescent="0.25">
      <c r="A7" s="34" t="s">
        <v>54</v>
      </c>
      <c r="B7" s="95">
        <v>393.53</v>
      </c>
      <c r="C7" s="95">
        <v>275.13</v>
      </c>
      <c r="D7" s="95">
        <v>246.75</v>
      </c>
      <c r="E7" s="110" t="s">
        <v>10</v>
      </c>
      <c r="F7" s="95">
        <v>307.58999999999997</v>
      </c>
      <c r="G7" s="95">
        <v>265.68</v>
      </c>
    </row>
    <row r="8" spans="1:7" ht="13.8" x14ac:dyDescent="0.25">
      <c r="A8" s="34" t="s">
        <v>69</v>
      </c>
      <c r="B8" s="95">
        <v>468.11</v>
      </c>
      <c r="C8" s="95">
        <v>331.52</v>
      </c>
      <c r="D8" s="95">
        <v>241.57</v>
      </c>
      <c r="E8" s="110" t="s">
        <v>10</v>
      </c>
      <c r="F8" s="95">
        <v>354.22</v>
      </c>
      <c r="G8" s="95">
        <v>329.31</v>
      </c>
    </row>
    <row r="9" spans="1:7" ht="13.8" x14ac:dyDescent="0.25">
      <c r="A9" s="34" t="s">
        <v>75</v>
      </c>
      <c r="B9" s="95">
        <v>489.94</v>
      </c>
      <c r="C9" s="95">
        <v>377.71</v>
      </c>
      <c r="D9" s="95">
        <v>238.87</v>
      </c>
      <c r="E9" s="110" t="s">
        <v>10</v>
      </c>
      <c r="F9" s="95">
        <v>359.7</v>
      </c>
      <c r="G9" s="95">
        <v>337.23</v>
      </c>
    </row>
    <row r="10" spans="1:7" ht="13.8" x14ac:dyDescent="0.25">
      <c r="A10" s="34" t="s">
        <v>78</v>
      </c>
      <c r="B10" s="95">
        <v>368.49</v>
      </c>
      <c r="C10" s="95">
        <v>304.27</v>
      </c>
      <c r="D10" s="95">
        <v>209.97</v>
      </c>
      <c r="E10" s="110" t="s">
        <v>10</v>
      </c>
      <c r="F10" s="95">
        <v>301.2</v>
      </c>
      <c r="G10" s="95">
        <v>256.58</v>
      </c>
    </row>
    <row r="11" spans="1:7" ht="13.8" x14ac:dyDescent="0.25">
      <c r="A11" s="34" t="s">
        <v>79</v>
      </c>
      <c r="B11" s="95">
        <v>324.56</v>
      </c>
      <c r="C11" s="95">
        <v>261.19</v>
      </c>
      <c r="D11" s="95">
        <v>153.16999999999999</v>
      </c>
      <c r="E11" s="110" t="s">
        <v>10</v>
      </c>
      <c r="F11" s="95">
        <v>262.2</v>
      </c>
      <c r="G11" s="95">
        <v>260.23</v>
      </c>
    </row>
    <row r="12" spans="1:7" ht="13.8" x14ac:dyDescent="0.25">
      <c r="A12" s="34" t="s">
        <v>91</v>
      </c>
      <c r="B12" s="95">
        <v>316.88</v>
      </c>
      <c r="C12" s="95">
        <v>208.61</v>
      </c>
      <c r="D12" s="95">
        <v>145.1</v>
      </c>
      <c r="E12" s="110" t="s">
        <v>10</v>
      </c>
      <c r="F12" s="95">
        <v>267.94</v>
      </c>
      <c r="G12" s="95">
        <v>282.49</v>
      </c>
    </row>
    <row r="13" spans="1:7" ht="13.8" x14ac:dyDescent="0.25">
      <c r="A13" s="34" t="s">
        <v>93</v>
      </c>
      <c r="B13" s="95">
        <v>345.02</v>
      </c>
      <c r="C13" s="95">
        <v>260.88</v>
      </c>
      <c r="D13" s="95">
        <v>173.53</v>
      </c>
      <c r="E13" s="110" t="s">
        <v>10</v>
      </c>
      <c r="F13" s="95">
        <v>291.14999999999998</v>
      </c>
      <c r="G13" s="95">
        <v>239.15</v>
      </c>
    </row>
    <row r="14" spans="1:7" ht="13.8" x14ac:dyDescent="0.25">
      <c r="A14" s="34" t="s">
        <v>119</v>
      </c>
      <c r="B14" s="95">
        <v>308.27999999999997</v>
      </c>
      <c r="C14" s="95">
        <v>228.64</v>
      </c>
      <c r="D14" s="115">
        <v>164.16</v>
      </c>
      <c r="E14" s="110" t="s">
        <v>10</v>
      </c>
      <c r="F14" s="95">
        <v>272.38</v>
      </c>
      <c r="G14" s="95">
        <v>225.77</v>
      </c>
    </row>
    <row r="15" spans="1:7" ht="13.8" x14ac:dyDescent="0.25">
      <c r="A15" s="34" t="s">
        <v>121</v>
      </c>
      <c r="B15" s="95">
        <v>299.5</v>
      </c>
      <c r="C15" s="95">
        <v>247.04</v>
      </c>
      <c r="D15" s="115">
        <v>187.7</v>
      </c>
      <c r="E15" s="110" t="s">
        <v>10</v>
      </c>
      <c r="F15" s="95">
        <v>273.99</v>
      </c>
      <c r="G15" s="95">
        <v>245.88</v>
      </c>
    </row>
    <row r="16" spans="1:7" ht="16.2" x14ac:dyDescent="0.25">
      <c r="A16" s="34" t="s">
        <v>124</v>
      </c>
      <c r="B16" s="95">
        <v>405</v>
      </c>
      <c r="C16" s="95">
        <v>400</v>
      </c>
      <c r="D16" s="115">
        <v>245</v>
      </c>
      <c r="E16" s="110" t="s">
        <v>10</v>
      </c>
      <c r="F16" s="95">
        <v>340</v>
      </c>
      <c r="G16" s="95">
        <v>305</v>
      </c>
    </row>
    <row r="17" spans="1:13" ht="16.2" x14ac:dyDescent="0.25">
      <c r="A17" s="34" t="s">
        <v>166</v>
      </c>
      <c r="B17" s="95">
        <v>400</v>
      </c>
      <c r="C17" s="95">
        <v>318</v>
      </c>
      <c r="D17" s="115">
        <v>240</v>
      </c>
      <c r="E17" s="110" t="s">
        <v>10</v>
      </c>
      <c r="F17" s="95">
        <v>340</v>
      </c>
      <c r="G17" s="95">
        <v>300</v>
      </c>
    </row>
    <row r="18" spans="1:13" ht="13.8" x14ac:dyDescent="0.25">
      <c r="A18" s="111"/>
      <c r="B18" s="95"/>
      <c r="C18" s="95"/>
      <c r="D18" s="95"/>
      <c r="E18" s="110"/>
      <c r="F18" s="95"/>
      <c r="G18" s="95"/>
      <c r="H18" s="13"/>
    </row>
    <row r="19" spans="1:13" ht="13.8" x14ac:dyDescent="0.25">
      <c r="A19" s="170" t="s">
        <v>121</v>
      </c>
      <c r="B19" s="95"/>
      <c r="C19" s="95"/>
      <c r="D19" s="95"/>
      <c r="E19" s="110"/>
      <c r="F19" s="95"/>
      <c r="G19" s="95"/>
      <c r="I19" s="6"/>
      <c r="J19" s="6"/>
      <c r="K19" s="6"/>
      <c r="L19" s="6"/>
      <c r="M19" s="6"/>
    </row>
    <row r="20" spans="1:13" ht="13.8" x14ac:dyDescent="0.25">
      <c r="A20" s="34" t="s">
        <v>45</v>
      </c>
      <c r="B20" s="95">
        <v>309.48</v>
      </c>
      <c r="C20" s="95">
        <v>213.13</v>
      </c>
      <c r="D20" s="95">
        <v>169</v>
      </c>
      <c r="E20" s="110" t="s">
        <v>10</v>
      </c>
      <c r="F20" s="95">
        <v>267.89999999999998</v>
      </c>
      <c r="G20" s="95">
        <v>226.5</v>
      </c>
      <c r="I20" s="6"/>
      <c r="J20" s="6"/>
      <c r="K20" s="6"/>
      <c r="L20" s="6"/>
      <c r="M20" s="6"/>
    </row>
    <row r="21" spans="1:13" ht="13.8" x14ac:dyDescent="0.25">
      <c r="A21" s="34" t="s">
        <v>46</v>
      </c>
      <c r="B21" s="95">
        <v>303.13</v>
      </c>
      <c r="C21" s="95">
        <v>233.75</v>
      </c>
      <c r="D21" s="95">
        <v>166.88</v>
      </c>
      <c r="E21" s="110" t="s">
        <v>10</v>
      </c>
      <c r="F21" s="95" t="s">
        <v>10</v>
      </c>
      <c r="G21" s="95">
        <v>226.88</v>
      </c>
      <c r="I21" s="6"/>
      <c r="J21" s="6"/>
      <c r="K21" s="6"/>
      <c r="L21" s="6"/>
      <c r="M21" s="6"/>
    </row>
    <row r="22" spans="1:13" ht="13.8" x14ac:dyDescent="0.25">
      <c r="A22" s="34" t="s">
        <v>47</v>
      </c>
      <c r="B22" s="95">
        <v>299.58999999999997</v>
      </c>
      <c r="C22" s="95">
        <v>250.83</v>
      </c>
      <c r="D22" s="95">
        <v>180</v>
      </c>
      <c r="E22" s="110" t="s">
        <v>10</v>
      </c>
      <c r="F22" s="95" t="s">
        <v>10</v>
      </c>
      <c r="G22" s="95">
        <f>(235+227.5+232.5)/3</f>
        <v>231.66666666666666</v>
      </c>
      <c r="I22" s="6"/>
      <c r="J22" s="6"/>
      <c r="K22" s="6"/>
      <c r="L22" s="6"/>
      <c r="M22" s="6"/>
    </row>
    <row r="23" spans="1:13" ht="13.8" x14ac:dyDescent="0.25">
      <c r="A23" s="34" t="s">
        <v>48</v>
      </c>
      <c r="B23" s="95">
        <v>300.11</v>
      </c>
      <c r="C23" s="95">
        <v>239.38</v>
      </c>
      <c r="D23" s="95">
        <v>185</v>
      </c>
      <c r="E23" s="110" t="s">
        <v>10</v>
      </c>
      <c r="F23" s="95" t="s">
        <v>10</v>
      </c>
      <c r="G23" s="95">
        <v>248.13</v>
      </c>
      <c r="I23" s="6"/>
      <c r="J23" s="6"/>
      <c r="K23" s="6"/>
      <c r="L23" s="6"/>
      <c r="M23" s="6"/>
    </row>
    <row r="24" spans="1:13" ht="13.8" x14ac:dyDescent="0.25">
      <c r="A24" s="34" t="s">
        <v>49</v>
      </c>
      <c r="B24" s="95">
        <v>295.27999999999997</v>
      </c>
      <c r="C24" s="95">
        <v>250.63</v>
      </c>
      <c r="D24" s="95">
        <v>188.13</v>
      </c>
      <c r="E24" s="110" t="s">
        <v>10</v>
      </c>
      <c r="F24" s="95">
        <v>253.67</v>
      </c>
      <c r="G24" s="95">
        <v>262.5</v>
      </c>
      <c r="I24" s="6"/>
      <c r="J24" s="6"/>
      <c r="K24" s="6"/>
    </row>
    <row r="25" spans="1:13" ht="13.8" x14ac:dyDescent="0.25">
      <c r="A25" s="34" t="s">
        <v>50</v>
      </c>
      <c r="B25" s="95">
        <v>312.38</v>
      </c>
      <c r="C25" s="95">
        <v>259</v>
      </c>
      <c r="D25" s="95">
        <v>180</v>
      </c>
      <c r="E25" s="110" t="s">
        <v>10</v>
      </c>
      <c r="F25" s="95">
        <v>274.75</v>
      </c>
      <c r="G25" s="95">
        <v>263</v>
      </c>
      <c r="I25" s="6"/>
      <c r="J25" s="6"/>
      <c r="K25" s="6"/>
    </row>
    <row r="26" spans="1:13" ht="13.8" x14ac:dyDescent="0.25">
      <c r="A26" s="34" t="s">
        <v>51</v>
      </c>
      <c r="B26" s="95">
        <v>295.39999999999998</v>
      </c>
      <c r="C26" s="95">
        <v>281.88</v>
      </c>
      <c r="D26" s="95">
        <v>183.75</v>
      </c>
      <c r="E26" s="110" t="s">
        <v>10</v>
      </c>
      <c r="F26" s="95">
        <v>274.52999999999997</v>
      </c>
      <c r="G26" s="95">
        <v>260</v>
      </c>
      <c r="I26" s="6"/>
      <c r="J26" s="6"/>
      <c r="K26" s="6"/>
      <c r="L26" s="6"/>
      <c r="M26" s="6"/>
    </row>
    <row r="27" spans="1:13" ht="13.8" x14ac:dyDescent="0.25">
      <c r="A27" s="34" t="s">
        <v>52</v>
      </c>
      <c r="B27" s="95">
        <v>288.56</v>
      </c>
      <c r="C27" s="95">
        <v>251.88</v>
      </c>
      <c r="D27" s="95">
        <v>180.63</v>
      </c>
      <c r="E27" s="110" t="s">
        <v>10</v>
      </c>
      <c r="F27" s="95">
        <v>276.25</v>
      </c>
      <c r="G27" s="95">
        <v>257.5</v>
      </c>
      <c r="I27" s="6"/>
      <c r="J27" s="6"/>
      <c r="K27" s="6"/>
      <c r="L27" s="6"/>
      <c r="M27" s="6"/>
    </row>
    <row r="28" spans="1:13" ht="13.8" x14ac:dyDescent="0.25">
      <c r="A28" s="34" t="s">
        <v>53</v>
      </c>
      <c r="B28" s="95">
        <v>288.66000000000003</v>
      </c>
      <c r="C28" s="95">
        <v>245.5</v>
      </c>
      <c r="D28" s="95">
        <v>187.5</v>
      </c>
      <c r="E28" s="110" t="s">
        <v>10</v>
      </c>
      <c r="F28" s="95">
        <v>270.02999999999997</v>
      </c>
      <c r="G28" s="95">
        <v>245.63</v>
      </c>
      <c r="I28" s="6"/>
      <c r="J28" s="6"/>
      <c r="K28" s="6"/>
    </row>
    <row r="29" spans="1:13" ht="13.8" x14ac:dyDescent="0.25">
      <c r="A29" s="34" t="s">
        <v>55</v>
      </c>
      <c r="B29" s="95">
        <v>291.25</v>
      </c>
      <c r="C29" s="95">
        <v>245</v>
      </c>
      <c r="D29" s="95">
        <v>202.5</v>
      </c>
      <c r="E29" s="110" t="s">
        <v>10</v>
      </c>
      <c r="F29" s="95">
        <v>271.11</v>
      </c>
      <c r="G29" s="95">
        <v>250</v>
      </c>
      <c r="I29" s="6"/>
      <c r="J29" s="6"/>
      <c r="K29" s="6"/>
    </row>
    <row r="30" spans="1:13" ht="13.8" x14ac:dyDescent="0.25">
      <c r="A30" s="34" t="s">
        <v>56</v>
      </c>
      <c r="B30" s="95">
        <v>290.18</v>
      </c>
      <c r="C30" s="95">
        <v>245</v>
      </c>
      <c r="D30" s="95">
        <v>217.5</v>
      </c>
      <c r="E30" s="110" t="s">
        <v>10</v>
      </c>
      <c r="F30" s="95">
        <v>281.08999999999997</v>
      </c>
      <c r="G30" s="95">
        <v>251.75</v>
      </c>
      <c r="I30" s="6"/>
      <c r="J30" s="6"/>
      <c r="K30" s="6"/>
      <c r="L30" s="6"/>
      <c r="M30" s="6"/>
    </row>
    <row r="31" spans="1:13" ht="13.8" x14ac:dyDescent="0.25">
      <c r="A31" s="34" t="s">
        <v>58</v>
      </c>
      <c r="B31" s="95">
        <v>319.99</v>
      </c>
      <c r="C31" s="95">
        <v>248.5</v>
      </c>
      <c r="D31" s="95">
        <v>211.5</v>
      </c>
      <c r="E31" s="110" t="s">
        <v>10</v>
      </c>
      <c r="F31" s="95">
        <v>296.60000000000002</v>
      </c>
      <c r="G31" s="95">
        <v>227</v>
      </c>
      <c r="I31" s="6"/>
      <c r="J31" s="6"/>
      <c r="K31" s="6"/>
    </row>
    <row r="32" spans="1:13" ht="13.8" x14ac:dyDescent="0.25">
      <c r="A32" s="37"/>
      <c r="B32" s="95"/>
      <c r="C32" s="95"/>
      <c r="D32" s="95"/>
      <c r="E32" s="110"/>
      <c r="F32" s="95"/>
      <c r="G32" s="95"/>
      <c r="I32" s="6"/>
      <c r="J32" s="6"/>
      <c r="K32" s="6"/>
      <c r="L32" s="6"/>
      <c r="M32" s="6"/>
    </row>
    <row r="33" spans="1:13" ht="13.8" x14ac:dyDescent="0.25">
      <c r="A33" s="170" t="s">
        <v>130</v>
      </c>
      <c r="B33" s="95"/>
      <c r="C33" s="95"/>
      <c r="D33" s="95"/>
      <c r="E33" s="110"/>
      <c r="F33" s="95"/>
      <c r="G33" s="95"/>
      <c r="I33" s="6"/>
      <c r="J33" s="6"/>
      <c r="K33" s="6"/>
      <c r="L33" s="6"/>
      <c r="M33" s="6"/>
    </row>
    <row r="34" spans="1:13" ht="13.8" x14ac:dyDescent="0.25">
      <c r="A34" s="34" t="s">
        <v>45</v>
      </c>
      <c r="B34" s="95">
        <v>366.62</v>
      </c>
      <c r="C34" s="95">
        <v>301.88</v>
      </c>
      <c r="D34" s="95">
        <v>211.25</v>
      </c>
      <c r="E34" s="110" t="s">
        <v>10</v>
      </c>
      <c r="F34" s="95">
        <v>327.24</v>
      </c>
      <c r="G34" s="95">
        <v>239.38</v>
      </c>
      <c r="I34" s="6"/>
      <c r="J34" s="6"/>
      <c r="K34" s="6"/>
      <c r="L34" s="6"/>
      <c r="M34" s="6"/>
    </row>
    <row r="35" spans="1:13" ht="15" x14ac:dyDescent="0.25">
      <c r="A35" s="34" t="s">
        <v>46</v>
      </c>
      <c r="B35" s="95">
        <v>387.83</v>
      </c>
      <c r="C35" s="95">
        <v>365.63</v>
      </c>
      <c r="D35" s="95">
        <v>213.13</v>
      </c>
      <c r="E35" s="110" t="s">
        <v>10</v>
      </c>
      <c r="F35" s="95">
        <v>297.64999999999998</v>
      </c>
      <c r="G35" s="95">
        <v>253.75</v>
      </c>
      <c r="I35" s="6"/>
      <c r="J35" s="6"/>
      <c r="K35" s="136"/>
      <c r="L35" s="6"/>
      <c r="M35" s="6"/>
    </row>
    <row r="36" spans="1:13" ht="13.8" x14ac:dyDescent="0.25">
      <c r="A36" s="34" t="s">
        <v>47</v>
      </c>
      <c r="B36" s="95">
        <v>396.68</v>
      </c>
      <c r="C36" s="95">
        <v>425</v>
      </c>
      <c r="D36" s="95">
        <v>252.5</v>
      </c>
      <c r="E36" s="110" t="s">
        <v>10</v>
      </c>
      <c r="F36" s="95">
        <v>296.2</v>
      </c>
      <c r="G36" s="95">
        <v>275</v>
      </c>
      <c r="I36" s="6"/>
      <c r="J36" s="6"/>
      <c r="K36" s="6"/>
      <c r="L36" s="6"/>
      <c r="M36" s="6"/>
    </row>
    <row r="37" spans="1:13" ht="13.8" x14ac:dyDescent="0.25">
      <c r="A37" s="37" t="s">
        <v>48</v>
      </c>
      <c r="B37" s="95">
        <v>439.24</v>
      </c>
      <c r="C37" s="95">
        <v>443.75</v>
      </c>
      <c r="D37" s="95">
        <v>280.63</v>
      </c>
      <c r="E37" s="110" t="s">
        <v>10</v>
      </c>
      <c r="F37" s="95">
        <v>387.43</v>
      </c>
      <c r="G37" s="95">
        <v>313.18</v>
      </c>
      <c r="I37" s="6"/>
      <c r="J37" s="6"/>
      <c r="K37" s="6"/>
      <c r="L37" s="6"/>
      <c r="M37" s="6"/>
    </row>
    <row r="38" spans="1:13" ht="13.8" x14ac:dyDescent="0.25">
      <c r="A38" s="37" t="s">
        <v>49</v>
      </c>
      <c r="B38" s="95">
        <v>427.28</v>
      </c>
      <c r="C38" s="95">
        <v>460</v>
      </c>
      <c r="D38" s="95">
        <v>298.75</v>
      </c>
      <c r="E38" s="110" t="s">
        <v>10</v>
      </c>
      <c r="F38" s="95">
        <v>347.27499999999998</v>
      </c>
      <c r="G38" s="95">
        <v>312.5</v>
      </c>
      <c r="I38" s="6"/>
      <c r="J38" s="6"/>
      <c r="K38" s="6"/>
      <c r="L38" s="6"/>
      <c r="M38" s="6"/>
    </row>
    <row r="39" spans="1:13" ht="13.8" x14ac:dyDescent="0.25">
      <c r="A39" s="37" t="s">
        <v>50</v>
      </c>
      <c r="B39" s="95">
        <v>417.1</v>
      </c>
      <c r="C39" s="95">
        <v>456</v>
      </c>
      <c r="D39" s="95">
        <v>278.5</v>
      </c>
      <c r="E39" s="110" t="s">
        <v>10</v>
      </c>
      <c r="F39" s="95">
        <v>331.55</v>
      </c>
      <c r="G39" s="95">
        <v>302.5</v>
      </c>
      <c r="I39" s="6"/>
      <c r="J39" s="6"/>
      <c r="K39" s="6"/>
      <c r="L39" s="6"/>
      <c r="M39" s="6"/>
    </row>
    <row r="40" spans="1:13" ht="13.8" x14ac:dyDescent="0.25">
      <c r="A40" s="33" t="s">
        <v>51</v>
      </c>
      <c r="B40" s="101">
        <v>413.36</v>
      </c>
      <c r="C40" s="101">
        <v>415</v>
      </c>
      <c r="D40" s="101">
        <v>258.125</v>
      </c>
      <c r="E40" s="112" t="s">
        <v>10</v>
      </c>
      <c r="F40" s="101">
        <v>337.15</v>
      </c>
      <c r="G40" s="101">
        <v>325</v>
      </c>
      <c r="I40" s="6"/>
      <c r="J40" s="6"/>
      <c r="K40" s="6"/>
      <c r="L40" s="6"/>
      <c r="M40" s="6"/>
    </row>
    <row r="41" spans="1:13" ht="16.2" x14ac:dyDescent="0.25">
      <c r="A41" s="73" t="s">
        <v>155</v>
      </c>
      <c r="B41" s="113"/>
      <c r="C41" s="113"/>
      <c r="D41" s="113"/>
      <c r="E41" s="113"/>
      <c r="F41" s="113"/>
      <c r="G41" s="113"/>
      <c r="I41" s="11"/>
      <c r="J41" s="6"/>
      <c r="K41" s="6"/>
      <c r="L41" s="6"/>
      <c r="M41" s="6"/>
    </row>
    <row r="42" spans="1:13" ht="16.2" x14ac:dyDescent="0.25">
      <c r="A42" s="73" t="s">
        <v>156</v>
      </c>
      <c r="B42" s="114"/>
      <c r="C42" s="114"/>
      <c r="D42" s="114"/>
      <c r="E42" s="114"/>
      <c r="F42" s="114"/>
      <c r="G42" s="114"/>
      <c r="I42" s="11"/>
      <c r="J42" s="6"/>
      <c r="K42" s="6"/>
      <c r="L42" s="6"/>
      <c r="M42" s="6"/>
    </row>
    <row r="43" spans="1:13" ht="13.8" x14ac:dyDescent="0.25">
      <c r="A43" s="34" t="s">
        <v>44</v>
      </c>
      <c r="B43" s="114"/>
      <c r="C43" s="114"/>
      <c r="D43" s="114"/>
      <c r="E43" s="114"/>
      <c r="F43" s="114"/>
      <c r="G43" s="114"/>
      <c r="H43" s="1"/>
      <c r="I43" s="11"/>
      <c r="J43" s="6"/>
      <c r="K43" s="6"/>
      <c r="L43" s="6"/>
      <c r="M43" s="6"/>
    </row>
    <row r="44" spans="1:13" ht="14.4" x14ac:dyDescent="0.3">
      <c r="A44" s="34" t="s">
        <v>118</v>
      </c>
      <c r="B44" s="34"/>
      <c r="C44" s="34"/>
      <c r="D44" s="34"/>
      <c r="E44" s="34"/>
      <c r="F44" s="114"/>
      <c r="G44" s="114"/>
      <c r="I44" s="11"/>
      <c r="J44" s="6"/>
      <c r="K44" s="6"/>
      <c r="L44" s="6"/>
      <c r="M44" s="6"/>
    </row>
    <row r="45" spans="1:13" ht="13.8" x14ac:dyDescent="0.25">
      <c r="A45" s="38" t="s">
        <v>18</v>
      </c>
      <c r="B45" s="65">
        <f ca="1">NOW()</f>
        <v>44341.37117604167</v>
      </c>
      <c r="C45" s="34"/>
      <c r="D45" s="34"/>
      <c r="E45" s="34"/>
      <c r="F45" s="114"/>
      <c r="G45" s="114"/>
      <c r="I45" s="12"/>
      <c r="J45" s="8"/>
      <c r="K45" s="8"/>
      <c r="L45" s="8"/>
      <c r="M45" s="8"/>
    </row>
    <row r="46" spans="1:13" ht="13.8" x14ac:dyDescent="0.25">
      <c r="F46" s="114"/>
      <c r="G46" s="114"/>
      <c r="I46" s="12"/>
      <c r="J46" s="8"/>
      <c r="K46" s="8"/>
      <c r="L46" s="8"/>
      <c r="M46" s="8"/>
    </row>
    <row r="47" spans="1:13" ht="13.8" x14ac:dyDescent="0.25">
      <c r="F47" s="114"/>
      <c r="G47" s="114"/>
      <c r="I47" s="11"/>
      <c r="J47" s="11"/>
      <c r="K47" s="6"/>
      <c r="L47" s="6"/>
      <c r="M47" s="6"/>
    </row>
    <row r="48" spans="1:13" x14ac:dyDescent="0.25">
      <c r="I48" s="11"/>
      <c r="J48" s="11"/>
      <c r="K48" s="6"/>
      <c r="L48" s="6"/>
      <c r="M48" s="6"/>
    </row>
    <row r="49" spans="9:13" x14ac:dyDescent="0.25">
      <c r="I49" s="11"/>
      <c r="J49" s="11"/>
      <c r="K49" s="6"/>
      <c r="L49" s="6"/>
      <c r="M49" s="6"/>
    </row>
    <row r="50" spans="9:13" x14ac:dyDescent="0.25">
      <c r="I50" s="11"/>
      <c r="J50" s="11"/>
      <c r="K50" s="6"/>
      <c r="L50" s="6"/>
      <c r="M50" s="6"/>
    </row>
    <row r="51" spans="9:13" x14ac:dyDescent="0.25">
      <c r="I51" s="11"/>
      <c r="J51" s="11"/>
      <c r="K51" s="6"/>
      <c r="L51" s="6"/>
      <c r="M51" s="6"/>
    </row>
    <row r="52" spans="9:13" x14ac:dyDescent="0.25">
      <c r="I52" s="11"/>
      <c r="J52" s="11"/>
      <c r="K52" s="6"/>
      <c r="L52" s="6"/>
      <c r="M52" s="6"/>
    </row>
    <row r="54" spans="9:13" x14ac:dyDescent="0.25">
      <c r="I54" s="9"/>
      <c r="J54" s="9"/>
      <c r="K54" s="9"/>
      <c r="L54" s="9"/>
      <c r="M54" s="9"/>
    </row>
    <row r="55" spans="9:13" x14ac:dyDescent="0.25">
      <c r="I55" s="9"/>
      <c r="J55" s="9"/>
      <c r="K55" s="9"/>
      <c r="L55" s="9"/>
      <c r="M55" s="9"/>
    </row>
    <row r="56" spans="9:13" x14ac:dyDescent="0.25">
      <c r="J56" s="9"/>
    </row>
  </sheetData>
  <phoneticPr fontId="5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9E50-551D-414A-B345-28DF762C8D1A}">
  <dimension ref="A1:H18"/>
  <sheetViews>
    <sheetView topLeftCell="D1" zoomScale="68" zoomScaleNormal="100" workbookViewId="0">
      <selection activeCell="AC25" sqref="AC25"/>
    </sheetView>
  </sheetViews>
  <sheetFormatPr defaultRowHeight="16.2" x14ac:dyDescent="0.35"/>
  <cols>
    <col min="1" max="1" width="17.33203125" style="167" bestFit="1" customWidth="1"/>
    <col min="2" max="2" width="25.88671875" style="167" bestFit="1" customWidth="1"/>
    <col min="3" max="3" width="13.44140625" style="167" bestFit="1" customWidth="1"/>
    <col min="4" max="4" width="15.6640625" style="167" bestFit="1" customWidth="1"/>
    <col min="5" max="16384" width="8.88671875" style="167"/>
  </cols>
  <sheetData>
    <row r="1" spans="1:5" x14ac:dyDescent="0.35">
      <c r="A1" s="167" t="s">
        <v>167</v>
      </c>
      <c r="B1" s="167" t="s">
        <v>168</v>
      </c>
      <c r="C1" s="167" t="s">
        <v>169</v>
      </c>
      <c r="D1" s="167" t="s">
        <v>170</v>
      </c>
      <c r="E1" s="167" t="s">
        <v>1</v>
      </c>
    </row>
    <row r="2" spans="1:5" x14ac:dyDescent="0.35">
      <c r="A2" s="168">
        <v>2011</v>
      </c>
      <c r="B2" s="167">
        <v>1648</v>
      </c>
      <c r="C2" s="167">
        <v>1504.978062338671</v>
      </c>
      <c r="D2" s="167">
        <v>215.01300000000001</v>
      </c>
      <c r="E2" s="161">
        <v>3331.306</v>
      </c>
    </row>
    <row r="3" spans="1:5" x14ac:dyDescent="0.35">
      <c r="A3" s="168">
        <v>2012</v>
      </c>
      <c r="B3" s="167">
        <v>1703</v>
      </c>
      <c r="C3" s="167">
        <v>1366.3350851344253</v>
      </c>
      <c r="D3" s="167">
        <v>169.37</v>
      </c>
      <c r="E3" s="161">
        <v>3097.1790000000001</v>
      </c>
    </row>
    <row r="4" spans="1:5" x14ac:dyDescent="0.35">
      <c r="A4" s="168">
        <v>2013</v>
      </c>
      <c r="B4" s="167">
        <v>1689</v>
      </c>
      <c r="C4" s="167">
        <v>1327.5264848371185</v>
      </c>
      <c r="D4" s="167">
        <v>140.55699999999999</v>
      </c>
      <c r="E4" s="162">
        <v>3042.0439999999999</v>
      </c>
    </row>
    <row r="5" spans="1:5" x14ac:dyDescent="0.35">
      <c r="A5" s="168">
        <v>2014</v>
      </c>
      <c r="B5" s="167">
        <v>1734</v>
      </c>
      <c r="C5" s="167">
        <v>1638.5594023772064</v>
      </c>
      <c r="D5" s="167">
        <v>91.991</v>
      </c>
      <c r="E5" s="161">
        <v>3357.0039999999999</v>
      </c>
    </row>
    <row r="6" spans="1:5" x14ac:dyDescent="0.35">
      <c r="A6" s="168">
        <v>2015</v>
      </c>
      <c r="B6" s="167">
        <v>1873</v>
      </c>
      <c r="C6" s="167">
        <v>1842.1752280193994</v>
      </c>
      <c r="D6" s="167">
        <v>190.61</v>
      </c>
      <c r="E6" s="161">
        <v>3928.07</v>
      </c>
    </row>
    <row r="7" spans="1:5" x14ac:dyDescent="0.35">
      <c r="A7" s="168">
        <v>2016</v>
      </c>
      <c r="B7" s="167">
        <v>1886.2368000000001</v>
      </c>
      <c r="C7" s="167">
        <v>1942.6064183157985</v>
      </c>
      <c r="D7" s="167">
        <v>196.72900000000001</v>
      </c>
      <c r="E7" s="162">
        <v>3926.779</v>
      </c>
    </row>
    <row r="8" spans="1:5" x14ac:dyDescent="0.35">
      <c r="A8" s="168">
        <v>2017</v>
      </c>
      <c r="B8" s="167">
        <v>1901.1981000000001</v>
      </c>
      <c r="C8" s="167">
        <v>2166.5510838344953</v>
      </c>
      <c r="D8" s="167">
        <v>301.59500000000003</v>
      </c>
      <c r="E8" s="162">
        <v>4296.4960000000001</v>
      </c>
    </row>
    <row r="9" spans="1:5" x14ac:dyDescent="0.35">
      <c r="A9" s="168">
        <v>2018</v>
      </c>
      <c r="B9" s="167">
        <v>2054.9319999999998</v>
      </c>
      <c r="C9" s="167">
        <v>2133.7308779136683</v>
      </c>
      <c r="D9" s="167">
        <v>438.10500000000002</v>
      </c>
      <c r="E9" s="161">
        <v>4411.6329999999998</v>
      </c>
    </row>
    <row r="10" spans="1:5" x14ac:dyDescent="0.35">
      <c r="A10" s="168">
        <v>2019</v>
      </c>
      <c r="B10" s="167">
        <v>2091.9902999999999</v>
      </c>
      <c r="C10" s="167">
        <v>1751.8097236372153</v>
      </c>
      <c r="D10" s="167">
        <v>909.05200000000002</v>
      </c>
      <c r="E10" s="161">
        <v>4428.1499999999996</v>
      </c>
    </row>
    <row r="11" spans="1:5" x14ac:dyDescent="0.35">
      <c r="A11" s="168">
        <v>2020</v>
      </c>
      <c r="B11" s="167">
        <v>2164.5542</v>
      </c>
      <c r="C11" s="167">
        <v>1682.023247055195</v>
      </c>
      <c r="D11" s="167">
        <v>524.54100000000005</v>
      </c>
      <c r="E11" s="169">
        <v>3551.9079999999999</v>
      </c>
    </row>
    <row r="12" spans="1:5" x14ac:dyDescent="0.35">
      <c r="A12" s="168">
        <v>2021</v>
      </c>
      <c r="B12" s="167">
        <v>2190</v>
      </c>
      <c r="C12" s="167">
        <v>2280</v>
      </c>
      <c r="D12" s="167">
        <v>119.56265081290258</v>
      </c>
      <c r="E12" s="169">
        <v>4135.4769999999999</v>
      </c>
    </row>
    <row r="13" spans="1:5" x14ac:dyDescent="0.35">
      <c r="A13" s="168">
        <v>2022</v>
      </c>
      <c r="B13" s="167">
        <v>2225</v>
      </c>
      <c r="C13" s="167">
        <v>2075</v>
      </c>
      <c r="D13" s="167">
        <v>140.0434755350625</v>
      </c>
      <c r="E13" s="169">
        <v>4405</v>
      </c>
    </row>
    <row r="18" spans="1:8" x14ac:dyDescent="0.35">
      <c r="A18" s="163"/>
      <c r="B18" s="164"/>
      <c r="C18" s="164"/>
      <c r="D18" s="165"/>
      <c r="E18" s="165"/>
      <c r="F18" s="165"/>
      <c r="G18" s="166"/>
      <c r="H18" s="163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d29759f-fdc3-4b89-93e8-7a818e788e93"/>
    <ds:schemaRef ds:uri="http://schemas.microsoft.com/office/2006/documentManagement/types"/>
    <ds:schemaRef ds:uri="642c2d5b-b5cd-4c4f-95a0-23189163303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 Gallery Fig 1</vt:lpstr>
      <vt:lpstr>Oil Crops Char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Candice Wilson;Todd Hubbs;Dana Golden</dc:creator>
  <cp:keywords>soybeans, cottonseed, sunflower, peanuts, canola, supply, disappearance, price, USDA, U.S. Department of Agriculture, ERS, Economic Research Service</cp:keywords>
  <dc:description/>
  <cp:lastModifiedBy>Golden, Dana - REE-ERS, Kansas City, MO</cp:lastModifiedBy>
  <cp:lastPrinted>2014-11-10T20:35:48Z</cp:lastPrinted>
  <dcterms:created xsi:type="dcterms:W3CDTF">2001-11-13T16:22:15Z</dcterms:created>
  <dcterms:modified xsi:type="dcterms:W3CDTF">2021-05-25T13:54:34Z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