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4-21\"/>
    </mc:Choice>
  </mc:AlternateContent>
  <xr:revisionPtr revIDLastSave="0" documentId="13_ncr:1_{F1C47C38-3C5B-4505-9F5F-19F08F122BA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2'!$A$78:$J$125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12'!$A$1:$N$81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8'!$A$1:$N$72</definedName>
    <definedName name="_xlnm.Print_Area" localSheetId="8">'Table 9'!$A$1:$M$112</definedName>
    <definedName name="_xlnm.Print_Area">'Table 7'!$A$1:$F$133</definedName>
    <definedName name="Print_Area_MI" localSheetId="9">'Table 10'!$B$1:$D$91</definedName>
    <definedName name="Print_Area_MI" localSheetId="10">#N/A</definedName>
    <definedName name="Print_Area_MI" localSheetId="11">'Table 12'!$A$1:$N$102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9'!$A$1:$N$130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12'!$A$1:$N$98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9'!$A$1:$M$129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12'!$A$1:$C$119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4" l="1"/>
  <c r="J64" i="12" l="1"/>
  <c r="D64" i="12"/>
  <c r="K69" i="10" l="1"/>
  <c r="K63" i="10"/>
  <c r="K62" i="10"/>
  <c r="K60" i="10"/>
  <c r="K57" i="10"/>
  <c r="K56" i="10"/>
  <c r="K55" i="10"/>
  <c r="K54" i="10"/>
  <c r="K53" i="10"/>
  <c r="K52" i="10"/>
  <c r="K51" i="10"/>
  <c r="K50" i="10"/>
  <c r="K47" i="10"/>
  <c r="K65" i="10" s="1"/>
  <c r="K35" i="10"/>
  <c r="K45" i="10" s="1"/>
  <c r="K29" i="10"/>
  <c r="K25" i="10"/>
  <c r="K24" i="10"/>
  <c r="K20" i="10"/>
  <c r="K33" i="10" s="1"/>
  <c r="K18" i="10"/>
  <c r="K17" i="10"/>
  <c r="K16" i="10"/>
  <c r="K14" i="10" s="1"/>
  <c r="K10" i="10"/>
  <c r="K9" i="10"/>
  <c r="J74" i="14" l="1"/>
  <c r="J75" i="14" s="1"/>
  <c r="D74" i="14"/>
  <c r="D75" i="14" s="1"/>
  <c r="J48" i="13"/>
  <c r="J43" i="13"/>
  <c r="J44" i="13" s="1"/>
  <c r="D48" i="13"/>
  <c r="D43" i="13"/>
  <c r="D44" i="13" s="1"/>
  <c r="J65" i="12"/>
  <c r="L69" i="10"/>
  <c r="L64" i="10"/>
  <c r="L63" i="10"/>
  <c r="L62" i="10"/>
  <c r="L60" i="10"/>
  <c r="L57" i="10"/>
  <c r="L56" i="10"/>
  <c r="L55" i="10"/>
  <c r="L54" i="10"/>
  <c r="L53" i="10"/>
  <c r="L51" i="10"/>
  <c r="L50" i="10"/>
  <c r="L47" i="10"/>
  <c r="L35" i="10"/>
  <c r="L29" i="10"/>
  <c r="L25" i="10"/>
  <c r="L24" i="10"/>
  <c r="L20" i="10"/>
  <c r="L17" i="10"/>
  <c r="L16" i="10"/>
  <c r="L10" i="10"/>
  <c r="M100" i="11"/>
  <c r="J100" i="11"/>
  <c r="I100" i="11"/>
  <c r="H100" i="11"/>
  <c r="G100" i="11"/>
  <c r="E100" i="11"/>
  <c r="C100" i="11"/>
  <c r="B100" i="11"/>
  <c r="L37" i="10" l="1"/>
  <c r="L11" i="10"/>
  <c r="B43" i="13" l="1"/>
  <c r="B44" i="13" s="1"/>
  <c r="N38" i="14"/>
  <c r="H38" i="14"/>
  <c r="M38" i="14"/>
  <c r="G38" i="14"/>
  <c r="N16" i="13"/>
  <c r="M16" i="13"/>
  <c r="N14" i="13"/>
  <c r="M14" i="13"/>
  <c r="N13" i="13"/>
  <c r="M13" i="13"/>
  <c r="H16" i="13"/>
  <c r="G16" i="13"/>
  <c r="H15" i="13"/>
  <c r="G15" i="13"/>
  <c r="H14" i="13"/>
  <c r="G14" i="13"/>
  <c r="H13" i="13"/>
  <c r="G13" i="13"/>
  <c r="N33" i="13"/>
  <c r="H33" i="13"/>
  <c r="M33" i="13"/>
  <c r="G33" i="13"/>
  <c r="B64" i="12"/>
  <c r="L5" i="9" l="1"/>
  <c r="L45" i="10" l="1"/>
  <c r="F43" i="4"/>
  <c r="N8" i="14"/>
  <c r="M8" i="14"/>
  <c r="H8" i="14"/>
  <c r="G8" i="14"/>
  <c r="K48" i="13" l="1"/>
  <c r="B48" i="13"/>
  <c r="M37" i="13"/>
  <c r="N37" i="13"/>
  <c r="G37" i="13"/>
  <c r="H37" i="13"/>
  <c r="N17" i="13"/>
  <c r="M17" i="13"/>
  <c r="G17" i="13"/>
  <c r="H17" i="13"/>
  <c r="M68" i="14"/>
  <c r="N68" i="14"/>
  <c r="G68" i="14"/>
  <c r="H68" i="14"/>
  <c r="M23" i="14"/>
  <c r="N23" i="14"/>
  <c r="G23" i="14"/>
  <c r="H23" i="14"/>
  <c r="M61" i="12"/>
  <c r="N61" i="12"/>
  <c r="G61" i="12"/>
  <c r="H61" i="12"/>
  <c r="M53" i="12"/>
  <c r="N53" i="12"/>
  <c r="G53" i="12"/>
  <c r="H53" i="12"/>
  <c r="M32" i="12"/>
  <c r="N32" i="12"/>
  <c r="G32" i="12"/>
  <c r="H32" i="12"/>
  <c r="M21" i="12"/>
  <c r="N21" i="12"/>
  <c r="G21" i="12"/>
  <c r="H21" i="12"/>
  <c r="M17" i="12"/>
  <c r="N17" i="12"/>
  <c r="G17" i="12"/>
  <c r="H17" i="12"/>
  <c r="B74" i="14" l="1"/>
  <c r="B75" i="14" s="1"/>
  <c r="E74" i="14"/>
  <c r="E75" i="14" s="1"/>
  <c r="B65" i="12"/>
  <c r="C20" i="10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50" i="14" l="1"/>
  <c r="M50" i="14"/>
  <c r="H50" i="14"/>
  <c r="G50" i="14"/>
  <c r="N54" i="14"/>
  <c r="M54" i="14"/>
  <c r="H54" i="14"/>
  <c r="G54" i="14"/>
  <c r="N24" i="13"/>
  <c r="M24" i="13"/>
  <c r="H24" i="13"/>
  <c r="G24" i="13"/>
  <c r="N42" i="12"/>
  <c r="M42" i="12"/>
  <c r="H42" i="12"/>
  <c r="G42" i="12"/>
  <c r="N52" i="14" l="1"/>
  <c r="H52" i="14"/>
  <c r="M52" i="14" l="1"/>
  <c r="G52" i="14"/>
  <c r="N14" i="14"/>
  <c r="M14" i="14"/>
  <c r="N13" i="14"/>
  <c r="M13" i="14"/>
  <c r="N12" i="14"/>
  <c r="M12" i="14"/>
  <c r="N11" i="14"/>
  <c r="M11" i="14"/>
  <c r="H14" i="14"/>
  <c r="G14" i="14"/>
  <c r="H13" i="14"/>
  <c r="G13" i="14"/>
  <c r="H12" i="14"/>
  <c r="G12" i="14"/>
  <c r="H11" i="14"/>
  <c r="G11" i="14"/>
  <c r="G43" i="12"/>
  <c r="H43" i="12"/>
  <c r="M43" i="12"/>
  <c r="N43" i="12"/>
  <c r="G44" i="12"/>
  <c r="H44" i="12"/>
  <c r="M44" i="12"/>
  <c r="N44" i="12"/>
  <c r="N11" i="12"/>
  <c r="H11" i="12"/>
  <c r="M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M45" i="12"/>
  <c r="N45" i="12"/>
  <c r="G45" i="12"/>
  <c r="H45" i="12"/>
  <c r="M26" i="13"/>
  <c r="N26" i="13"/>
  <c r="G26" i="13"/>
  <c r="H26" i="13"/>
  <c r="M25" i="13"/>
  <c r="N25" i="13"/>
  <c r="G25" i="13"/>
  <c r="H25" i="13"/>
  <c r="M28" i="13"/>
  <c r="N28" i="13"/>
  <c r="G28" i="13"/>
  <c r="H28" i="13"/>
  <c r="L74" i="14"/>
  <c r="L75" i="14" s="1"/>
  <c r="M25" i="14"/>
  <c r="N25" i="14"/>
  <c r="G25" i="14"/>
  <c r="H25" i="14"/>
  <c r="M51" i="14"/>
  <c r="N51" i="14"/>
  <c r="G51" i="14"/>
  <c r="H51" i="14"/>
  <c r="M47" i="14"/>
  <c r="N47" i="14"/>
  <c r="G47" i="14"/>
  <c r="H47" i="14"/>
  <c r="M43" i="14"/>
  <c r="N43" i="14"/>
  <c r="G43" i="14"/>
  <c r="H43" i="14"/>
  <c r="G66" i="14" l="1"/>
  <c r="H66" i="14"/>
  <c r="M66" i="14"/>
  <c r="N66" i="14"/>
  <c r="I88" i="11" l="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5" i="14" l="1"/>
  <c r="N64" i="14"/>
  <c r="N63" i="14"/>
  <c r="N62" i="14"/>
  <c r="N61" i="14"/>
  <c r="N60" i="14"/>
  <c r="N50" i="12" l="1"/>
  <c r="H50" i="12"/>
  <c r="G50" i="12"/>
  <c r="J22" i="9" l="1"/>
  <c r="M77" i="14" l="1"/>
  <c r="M73" i="14"/>
  <c r="M72" i="14"/>
  <c r="M71" i="14"/>
  <c r="M70" i="14"/>
  <c r="M69" i="14"/>
  <c r="M67" i="14"/>
  <c r="M65" i="14"/>
  <c r="M64" i="14"/>
  <c r="M63" i="14"/>
  <c r="M62" i="14"/>
  <c r="M61" i="14"/>
  <c r="M60" i="14"/>
  <c r="M59" i="14"/>
  <c r="M58" i="14"/>
  <c r="M57" i="14"/>
  <c r="M56" i="14"/>
  <c r="M55" i="14"/>
  <c r="M53" i="14"/>
  <c r="M49" i="14"/>
  <c r="M48" i="14"/>
  <c r="M46" i="14"/>
  <c r="M45" i="14"/>
  <c r="M44" i="14"/>
  <c r="M42" i="14"/>
  <c r="M41" i="14"/>
  <c r="M40" i="14"/>
  <c r="M39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4" i="14"/>
  <c r="M22" i="14"/>
  <c r="M21" i="14"/>
  <c r="M20" i="14"/>
  <c r="M19" i="14"/>
  <c r="M18" i="14"/>
  <c r="M17" i="14"/>
  <c r="M16" i="14"/>
  <c r="M15" i="14"/>
  <c r="M10" i="14"/>
  <c r="M9" i="14"/>
  <c r="M7" i="14"/>
  <c r="M46" i="13"/>
  <c r="M42" i="13"/>
  <c r="M41" i="13"/>
  <c r="M40" i="13"/>
  <c r="M39" i="13"/>
  <c r="M38" i="13"/>
  <c r="M36" i="13"/>
  <c r="M35" i="13"/>
  <c r="M34" i="13"/>
  <c r="M32" i="13"/>
  <c r="M31" i="13"/>
  <c r="M30" i="13"/>
  <c r="M29" i="13"/>
  <c r="M27" i="13"/>
  <c r="M23" i="13"/>
  <c r="M22" i="13"/>
  <c r="M21" i="13"/>
  <c r="M20" i="13"/>
  <c r="M19" i="13"/>
  <c r="M18" i="13"/>
  <c r="M15" i="13"/>
  <c r="M12" i="13"/>
  <c r="M11" i="13"/>
  <c r="M10" i="13"/>
  <c r="M9" i="13"/>
  <c r="M8" i="13"/>
  <c r="M7" i="13"/>
  <c r="M67" i="12"/>
  <c r="M63" i="12"/>
  <c r="M62" i="12"/>
  <c r="M60" i="12"/>
  <c r="M59" i="12"/>
  <c r="M58" i="12"/>
  <c r="M57" i="12"/>
  <c r="M56" i="12"/>
  <c r="M55" i="12"/>
  <c r="M54" i="12"/>
  <c r="M52" i="12"/>
  <c r="M51" i="12"/>
  <c r="M50" i="12"/>
  <c r="M49" i="12"/>
  <c r="M48" i="12"/>
  <c r="M47" i="12"/>
  <c r="M46" i="12"/>
  <c r="M41" i="12"/>
  <c r="M40" i="12"/>
  <c r="M39" i="12"/>
  <c r="M38" i="12"/>
  <c r="M37" i="12"/>
  <c r="M36" i="12"/>
  <c r="M35" i="12"/>
  <c r="M34" i="12"/>
  <c r="M33" i="12"/>
  <c r="M31" i="12"/>
  <c r="M30" i="12"/>
  <c r="M29" i="12"/>
  <c r="M28" i="12"/>
  <c r="M27" i="12"/>
  <c r="M26" i="12"/>
  <c r="M25" i="12"/>
  <c r="M24" i="12"/>
  <c r="M23" i="12"/>
  <c r="M22" i="12"/>
  <c r="M20" i="12"/>
  <c r="M19" i="12"/>
  <c r="M18" i="12"/>
  <c r="M16" i="12"/>
  <c r="M15" i="12"/>
  <c r="M14" i="12"/>
  <c r="M13" i="12"/>
  <c r="M12" i="12"/>
  <c r="M10" i="12"/>
  <c r="M9" i="12"/>
  <c r="M8" i="12"/>
  <c r="M7" i="12"/>
  <c r="N21" i="14" l="1"/>
  <c r="H21" i="14"/>
  <c r="N46" i="14"/>
  <c r="H46" i="14"/>
  <c r="H60" i="14"/>
  <c r="H65" i="14"/>
  <c r="H64" i="14"/>
  <c r="G64" i="14"/>
  <c r="G60" i="14"/>
  <c r="G46" i="14"/>
  <c r="G21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E64" i="12" l="1"/>
  <c r="E48" i="13"/>
  <c r="E43" i="13"/>
  <c r="E44" i="13" s="1"/>
  <c r="I22" i="9"/>
  <c r="H22" i="9"/>
  <c r="G22" i="9"/>
  <c r="F22" i="9"/>
  <c r="E22" i="9"/>
  <c r="D22" i="9"/>
  <c r="C22" i="9"/>
  <c r="B22" i="9"/>
  <c r="E65" i="12" l="1"/>
  <c r="G64" i="12"/>
  <c r="H64" i="12"/>
  <c r="H33" i="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47" i="4"/>
  <c r="C47" i="4"/>
  <c r="B29" i="4"/>
  <c r="C25" i="4"/>
  <c r="C29" i="4" s="1"/>
  <c r="E23" i="4"/>
  <c r="C19" i="4"/>
  <c r="F33" i="2"/>
  <c r="F39" i="2" s="1"/>
  <c r="E33" i="2"/>
  <c r="F25" i="2"/>
  <c r="E25" i="2"/>
  <c r="D25" i="2"/>
  <c r="C25" i="2"/>
  <c r="B25" i="2"/>
  <c r="G22" i="2"/>
  <c r="F22" i="2"/>
  <c r="E22" i="2"/>
  <c r="G19" i="2"/>
  <c r="G15" i="2"/>
  <c r="D16" i="4" l="1"/>
  <c r="D19" i="4" s="1"/>
  <c r="D25" i="4" s="1"/>
  <c r="E16" i="4" s="1"/>
  <c r="E19" i="4" s="1"/>
  <c r="E25" i="4" s="1"/>
  <c r="G27" i="2"/>
  <c r="D29" i="4"/>
  <c r="G25" i="2" l="1"/>
  <c r="G33" i="2"/>
  <c r="G39" i="2" s="1"/>
  <c r="F16" i="4"/>
  <c r="F19" i="4" s="1"/>
  <c r="E29" i="4"/>
  <c r="F21" i="4" l="1"/>
  <c r="F23" i="4" s="1"/>
  <c r="F29" i="4" s="1"/>
  <c r="G47" i="4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43" i="13" l="1"/>
  <c r="I65" i="10"/>
  <c r="I20" i="10"/>
  <c r="I33" i="10" s="1"/>
  <c r="I9" i="10"/>
  <c r="K44" i="13" l="1"/>
  <c r="M44" i="13" s="1"/>
  <c r="M43" i="13"/>
  <c r="M73" i="11" l="1"/>
  <c r="I73" i="11"/>
  <c r="G73" i="11"/>
  <c r="E73" i="11"/>
  <c r="C73" i="11"/>
  <c r="B73" i="11"/>
  <c r="N35" i="14" l="1"/>
  <c r="H35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5" i="14" l="1"/>
  <c r="H65" i="10" l="1"/>
  <c r="H45" i="10" l="1"/>
  <c r="F9" i="10" l="1"/>
  <c r="H32" i="9" l="1"/>
  <c r="H36" i="9" s="1"/>
  <c r="H15" i="9"/>
  <c r="M74" i="14" l="1"/>
  <c r="M75" i="14" l="1"/>
  <c r="H33" i="10"/>
  <c r="H9" i="10"/>
  <c r="N44" i="13" l="1"/>
  <c r="G7" i="14"/>
  <c r="H7" i="14"/>
  <c r="G9" i="14"/>
  <c r="H9" i="14"/>
  <c r="N9" i="14"/>
  <c r="G10" i="14"/>
  <c r="H10" i="14"/>
  <c r="N10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2" i="14"/>
  <c r="H22" i="14"/>
  <c r="N22" i="14"/>
  <c r="G24" i="14"/>
  <c r="H24" i="14"/>
  <c r="N24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6" i="14"/>
  <c r="H36" i="14"/>
  <c r="N36" i="14"/>
  <c r="G37" i="14"/>
  <c r="H37" i="14"/>
  <c r="N37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4" i="14"/>
  <c r="H44" i="14"/>
  <c r="N44" i="14"/>
  <c r="G45" i="14"/>
  <c r="H45" i="14"/>
  <c r="N45" i="14"/>
  <c r="G48" i="14"/>
  <c r="H48" i="14"/>
  <c r="N48" i="14"/>
  <c r="G49" i="14"/>
  <c r="H49" i="14"/>
  <c r="N49" i="14"/>
  <c r="G53" i="14"/>
  <c r="H53" i="14"/>
  <c r="N53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1" i="14"/>
  <c r="H61" i="14"/>
  <c r="G62" i="14"/>
  <c r="H62" i="14"/>
  <c r="G63" i="14"/>
  <c r="H63" i="14"/>
  <c r="G65" i="14"/>
  <c r="G67" i="14"/>
  <c r="H67" i="14"/>
  <c r="N67" i="14"/>
  <c r="G69" i="14"/>
  <c r="H69" i="14"/>
  <c r="N69" i="14"/>
  <c r="G70" i="14"/>
  <c r="H70" i="14"/>
  <c r="N70" i="14"/>
  <c r="G71" i="14"/>
  <c r="H71" i="14"/>
  <c r="N71" i="14"/>
  <c r="G72" i="14"/>
  <c r="H72" i="14"/>
  <c r="N72" i="14"/>
  <c r="G73" i="14"/>
  <c r="H73" i="14"/>
  <c r="N73" i="14"/>
  <c r="G77" i="14"/>
  <c r="H77" i="14"/>
  <c r="N77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M64" i="12" l="1"/>
  <c r="K65" i="12"/>
  <c r="M65" i="12" s="1"/>
  <c r="H65" i="12"/>
  <c r="N64" i="12"/>
  <c r="N74" i="14"/>
  <c r="N75" i="14" s="1"/>
  <c r="H74" i="14"/>
  <c r="H75" i="14" s="1"/>
  <c r="G74" i="14"/>
  <c r="G75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<sst xmlns="http://schemas.openxmlformats.org/spreadsheetml/2006/main" count="892" uniqueCount="457">
  <si>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</si>
  <si>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</si>
  <si>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</si>
  <si>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</si>
  <si>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</si>
  <si>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</si>
  <si>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</si>
  <si>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</si>
  <si>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</si>
  <si>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</si>
  <si>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</si>
  <si>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</si>
  <si>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</si>
  <si>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</si>
  <si>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</si>
  <si>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</si>
  <si>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</si>
  <si>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</si>
  <si>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</si>
  <si>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</si>
  <si>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</si>
  <si>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</si>
  <si>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</si>
  <si>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</si>
  <si>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</si>
  <si>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</si>
  <si>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</si>
  <si>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</si>
  <si>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</si>
  <si>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</si>
  <si>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</si>
  <si>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</si>
  <si>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</si>
  <si>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</si>
  <si>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</si>
  <si>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</si>
  <si>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</si>
  <si>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</si>
  <si>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</si>
  <si>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</si>
  <si>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</si>
  <si>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</si>
  <si>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</si>
  <si>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</si>
  <si>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</si>
  <si>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</si>
  <si>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</si>
  <si>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</si>
  <si>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</si>
  <si>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</si>
  <si>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</si>
  <si>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</si>
  <si>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</si>
  <si>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</si>
  <si>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</si>
  <si>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</si>
  <si>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</si>
  <si>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</si>
  <si>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</si>
  <si>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</si>
  <si>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</si>
  <si>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</si>
  <si>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</si>
  <si>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</si>
  <si>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</si>
  <si>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</si>
  <si>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</si>
  <si>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</si>
  <si>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</si>
  <si>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</si>
  <si>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</si>
  <si>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</si>
  <si>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</si>
  <si>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</si>
  <si>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</si>
  <si>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</si>
  <si>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</si>
  <si>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</si>
  <si>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</si>
  <si>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</si>
  <si>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</si>
  <si>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</si>
  <si>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</si>
  <si>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</si>
  <si>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</si>
  <si>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</si>
  <si>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</si>
  <si>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</si>
  <si>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</si>
  <si>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</si>
  <si>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</si>
  <si>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</si>
  <si>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</si>
  <si>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</si>
  <si>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</si>
  <si>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</si>
  <si>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</si>
  <si>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</si>
  <si>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</si>
  <si>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</si>
  <si>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</si>
  <si>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</si>
  <si>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</si>
  <si>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</si>
  <si>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</si>
  <si>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</si>
  <si>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</si>
  <si>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</si>
  <si>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</si>
  <si>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</si>
  <si>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</si>
  <si>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</si>
  <si>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</si>
  <si>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</si>
  <si>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</si>
  <si>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</si>
  <si>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</si>
  <si>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</si>
  <si>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</si>
  <si>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</si>
  <si>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</si>
  <si>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</si>
  <si>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</si>
  <si>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</si>
  <si>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</si>
  <si>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</si>
  <si>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</si>
  <si>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</si>
  <si>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</si>
  <si>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</si>
  <si>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</si>
  <si>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</si>
  <si>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</si>
  <si>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</si>
  <si>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</si>
  <si>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</si>
  <si>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</si>
  <si>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</si>
  <si>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</si>
  <si>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</si>
  <si>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</si>
  <si>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</si>
  <si>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</si>
  <si>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</si>
  <si>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</si>
  <si>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</si>
  <si>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</si>
  <si>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</si>
  <si>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</si>
  <si>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</si>
  <si>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</si>
  <si>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</si>
  <si>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</si>
  <si>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</si>
  <si>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</si>
  <si>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</si>
  <si>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</si>
  <si>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</si>
  <si>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</si>
  <si>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</si>
  <si>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</si>
  <si>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</si>
  <si>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</si>
  <si>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</si>
  <si>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</si>
  <si>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</si>
  <si>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</si>
  <si>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</si>
  <si>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</si>
  <si>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</si>
  <si>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</si>
  <si>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</si>
  <si>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</si>
  <si>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</si>
  <si>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</si>
  <si>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</si>
  <si>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</si>
  <si>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</si>
  <si>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</si>
  <si>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</si>
  <si>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</si>
  <si>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</si>
  <si>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</si>
  <si>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</si>
  <si>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</si>
  <si>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</si>
  <si>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</si>
  <si>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</si>
  <si>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</si>
  <si>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</si>
  <si>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</si>
  <si>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</si>
  <si>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</si>
  <si>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</si>
  <si>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</si>
  <si>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</si>
  <si>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</si>
  <si>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</si>
  <si>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</si>
  <si>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</si>
  <si>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</si>
  <si>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</si>
  <si>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</si>
  <si>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</si>
  <si>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</si>
  <si>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</si>
  <si>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</si>
  <si>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</si>
  <si>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</si>
  <si>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</si>
  <si>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</si>
  <si>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</si>
  <si>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</si>
  <si>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</si>
  <si>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</si>
  <si>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</si>
  <si>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</si>
  <si>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</si>
  <si>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</si>
  <si>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</si>
  <si>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</si>
  <si>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</si>
  <si>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</si>
  <si>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</si>
  <si>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</si>
  <si>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</si>
  <si>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</si>
  <si>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</si>
  <si>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</si>
  <si>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</si>
  <si>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</si>
  <si>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</si>
  <si>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</si>
  <si>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</si>
  <si>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</si>
  <si>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</si>
  <si>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</si>
  <si>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</si>
  <si>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</si>
  <si>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</si>
  <si>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</si>
  <si>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</si>
  <si>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</si>
  <si>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</si>
  <si>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</si>
  <si>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</si>
  <si>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</si>
  <si>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</si>
  <si>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</si>
  <si>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</si>
  <si>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</si>
  <si>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</si>
  <si>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</si>
  <si>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</si>
  <si>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</si>
  <si>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</si>
  <si>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</si>
  <si>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</si>
  <si>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</si>
  <si>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</si>
  <si>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</si>
  <si>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</si>
  <si>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</si>
  <si>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</si>
  <si>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</si>
  <si>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</si>
  <si>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</si>
  <si>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</si>
  <si>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</si>
  <si>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</si>
  <si>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</si>
  <si>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</si>
  <si>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</si>
  <si>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</si>
  <si>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</si>
  <si>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</si>
  <si>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</si>
  <si>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</si>
  <si>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</si>
  <si>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</si>
  <si>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</si>
  <si>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</si>
  <si>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</si>
  <si>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</si>
  <si>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</si>
  <si>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</si>
  <si>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</si>
  <si>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</si>
  <si>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</si>
  <si>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</si>
  <si>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</si>
  <si>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</si>
  <si>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</si>
  <si>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</si>
  <si>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</si>
  <si>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</si>
  <si>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</si>
  <si>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</si>
  <si>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</si>
  <si>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</si>
  <si>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</si>
  <si>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</si>
  <si>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</si>
  <si>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</si>
  <si>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1/ Projected.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</si>
  <si>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</si>
  <si>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</si>
  <si>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</si>
  <si>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</si>
  <si>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</si>
  <si>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</si>
  <si>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</si>
  <si>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</si>
  <si>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</si>
  <si>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</si>
  <si>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</si>
  <si>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</si>
  <si>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</si>
  <si>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</si>
  <si>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</si>
  <si>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</si>
  <si>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</si>
  <si>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</si>
  <si>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</si>
  <si>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</si>
  <si>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</si>
  <si>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</si>
  <si>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</si>
  <si>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</si>
  <si>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</si>
  <si>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</si>
  <si>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</si>
  <si>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</si>
  <si>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</si>
  <si>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</si>
  <si>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</si>
  <si>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</si>
  <si>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</si>
  <si>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</si>
  <si>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</si>
  <si>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</si>
  <si>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</si>
  <si>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</si>
  <si>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</si>
  <si>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</si>
  <si>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</si>
  <si>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</si>
  <si>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</si>
  <si>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</si>
  <si>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</si>
  <si>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</si>
  <si>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</si>
  <si>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</si>
  <si>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</si>
  <si>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</si>
  <si>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</si>
  <si>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</si>
  <si>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</si>
  <si>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</si>
  <si>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</si>
  <si>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</si>
  <si>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</si>
  <si>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</si>
  <si>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</si>
  <si>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</si>
  <si>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</si>
  <si>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</si>
  <si>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</si>
  <si>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</si>
  <si>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</si>
  <si>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</si>
  <si>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</si>
  <si>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</si>
  <si>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</si>
  <si>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</si>
  <si>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</si>
  <si>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</si>
  <si>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</si>
  <si>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</si>
  <si>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</si>
  <si>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</si>
  <si>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</si>
  <si>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</si>
  <si>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</si>
  <si>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</si>
  <si>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</si>
  <si>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</si>
  <si>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</si>
  <si>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</si>
  <si>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</si>
  <si>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</si>
  <si>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</si>
  <si>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</si>
  <si>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</si>
  <si>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</si>
  <si>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</si>
  <si>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</si>
  <si>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</si>
  <si>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</si>
  <si>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</si>
  <si>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</si>
  <si>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</si>
  <si>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</si>
  <si>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</si>
  <si>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</si>
  <si>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</si>
  <si>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</si>
  <si>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</si>
  <si>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</si>
  <si>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</si>
  <si>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</si>
  <si>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</si>
  <si>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</si>
  <si>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</si>
  <si>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</si>
  <si>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</si>
  <si>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</si>
  <si>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</si>
  <si>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</si>
  <si>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</si>
  <si>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</si>
  <si>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</si>
  <si>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</si>
  <si>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</si>
  <si>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</si>
  <si>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</si>
  <si>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</si>
  <si>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>February</t>
  </si>
  <si>
    <t xml:space="preserve">Dec. 2020 </t>
  </si>
  <si>
    <t xml:space="preserve">1/ Market year production on a milled basis.  2/ Projected.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</si>
  <si>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</si>
  <si>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</si>
  <si>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</si>
  <si>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</si>
  <si>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Mar. 2021 8/ </t>
  </si>
  <si>
    <t>Apr. 2021 9/</t>
  </si>
  <si>
    <t xml:space="preserve">Jan. 2021 </t>
  </si>
  <si>
    <t>Feb. 2021 8/</t>
  </si>
  <si>
    <t>Updated April 9, 2021.</t>
  </si>
  <si>
    <t>April 2/</t>
  </si>
  <si>
    <t>April 1  2/</t>
  </si>
  <si>
    <t>April 2  2/</t>
  </si>
  <si>
    <t>6/ 100-percent brokens. 7/ Long-grain, double-water-polished, bagged, free on board vessel, Ho Chi Minh City.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</si>
  <si>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</si>
  <si>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</si>
  <si>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</si>
  <si>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</si>
  <si>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</si>
  <si>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pools in California.The pool price is not final until all the rice in the pool is marketed for the crop year. Therefore, SAFP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</si>
  <si>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</si>
  <si>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</si>
  <si>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</si>
  <si>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</si>
  <si>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</si>
  <si>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</si>
  <si>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2/ 2020/21 Preliminary. Source: USDA, Farm Service Agency, Economic and Policy Analysis, Rice Reports,</t>
  </si>
  <si>
    <t>Note: All trade data are reported on a calendar year basis.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</si>
</sst>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4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" fontId="6" fillId="0" borderId="7" xfId="10" applyNumberFormat="1" applyFont="1" applyFill="1" applyBorder="1" applyAlignment="1" applyProtection="1">
      <alignment horizontal="center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2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25" activePane="bottomRight" state="frozen"/>
      <selection pane="topRight" activeCell="B1" sqref="B1"/>
      <selection pane="bottomLeft" activeCell="A8" sqref="A8"/>
      <selection pane="bottomRight" sqref="A1:G3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39" t="s">
        <v>39</v>
      </c>
      <c r="B1" s="540"/>
      <c r="C1" s="540"/>
      <c r="D1" s="540"/>
      <c r="E1" s="540"/>
      <c r="F1" s="540"/>
      <c r="G1" s="540"/>
      <c r="H1" s="503"/>
    </row>
    <row r="2" spans="1:8" x14ac:dyDescent="0.25">
      <c r="A2" s="540"/>
      <c r="B2" s="540"/>
      <c r="C2" s="540"/>
      <c r="D2" s="540"/>
      <c r="E2" s="540"/>
      <c r="F2" s="540"/>
      <c r="G2" s="540"/>
      <c r="H2" s="503"/>
    </row>
    <row r="3" spans="1:8" x14ac:dyDescent="0.25">
      <c r="A3" s="540"/>
      <c r="B3" s="540"/>
      <c r="C3" s="540"/>
      <c r="D3" s="540"/>
      <c r="E3" s="540"/>
      <c r="F3" s="540"/>
      <c r="G3" s="540"/>
      <c r="H3" s="503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329</v>
      </c>
      <c r="G6" s="29" t="s">
        <v>359</v>
      </c>
      <c r="H6" s="29" t="s">
        <v>381</v>
      </c>
    </row>
    <row r="7" spans="1:8" x14ac:dyDescent="0.25">
      <c r="A7" s="30"/>
      <c r="B7" s="31"/>
      <c r="C7" s="31"/>
      <c r="D7" s="31"/>
      <c r="E7" s="31"/>
      <c r="F7" s="31"/>
      <c r="G7" s="510"/>
      <c r="H7" s="510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2.5499999999999998</v>
      </c>
      <c r="H10" s="10">
        <v>3.036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2.4769999999999999</v>
      </c>
      <c r="H11" s="10">
        <v>2.9870000000000001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63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7472.91077916835</v>
      </c>
      <c r="H15" s="14">
        <f>H20/H11*100</f>
        <v>7619.1161700703051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185.10400000000001</v>
      </c>
      <c r="H20" s="20">
        <v>227.583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v>35.700000000000003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267.26900000000001</v>
      </c>
      <c r="H22" s="21">
        <f t="shared" si="1"/>
        <v>291.94499999999999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142.02499999999998</v>
      </c>
      <c r="H25" s="20" t="s">
        <v>33</v>
      </c>
      <c r="I25" s="501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144.42499999999998</v>
      </c>
      <c r="H27" s="20">
        <v>158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94.182000000000002</v>
      </c>
      <c r="H29" s="21">
        <v>91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34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57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238.60699999999997</v>
      </c>
      <c r="H33" s="21">
        <f t="shared" si="5"/>
        <v>249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42.944999999999993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12.012220932328056</v>
      </c>
      <c r="H39" s="16">
        <f>H35/H33*100</f>
        <v>17.246987951807228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13.6</v>
      </c>
      <c r="H43" s="8">
        <v>13.7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446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445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438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9" transitionEvaluation="1" transitionEntry="1"/>
  <dimension ref="A1:AE161"/>
  <sheetViews>
    <sheetView showGridLines="0" zoomScale="120" zoomScaleNormal="120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B72" sqref="B72"/>
    </sheetView>
  </sheetViews>
  <sheetFormatPr defaultColWidth="8.6640625" defaultRowHeight="11.5" x14ac:dyDescent="0.25"/>
  <cols>
    <col min="1" max="1" width="17" style="215" customWidth="1"/>
    <col min="2" max="2" width="9.33203125" style="215" customWidth="1"/>
    <col min="3" max="3" width="1.75" style="215" customWidth="1"/>
    <col min="4" max="5" width="9.33203125" style="215" customWidth="1"/>
    <col min="6" max="6" width="1.08203125" style="215" customWidth="1"/>
    <col min="7" max="8" width="8.75" style="215" customWidth="1"/>
    <col min="9" max="9" width="2.08203125" style="215" customWidth="1"/>
    <col min="10" max="11" width="9.33203125" style="215" customWidth="1"/>
    <col min="12" max="12" width="1.08203125" style="215" customWidth="1"/>
    <col min="13" max="14" width="8.75" style="215" customWidth="1"/>
    <col min="15" max="25" width="9.6640625" style="215" customWidth="1"/>
    <col min="26" max="26" width="12.6640625" style="215" customWidth="1"/>
    <col min="27" max="256" width="8.6640625" style="215"/>
    <col min="257" max="257" width="17" style="215" customWidth="1"/>
    <col min="258" max="258" width="9.33203125" style="215" customWidth="1"/>
    <col min="259" max="259" width="1.75" style="215" customWidth="1"/>
    <col min="260" max="261" width="9.33203125" style="215" customWidth="1"/>
    <col min="262" max="262" width="1.08203125" style="215" customWidth="1"/>
    <col min="263" max="264" width="8.75" style="215" customWidth="1"/>
    <col min="265" max="265" width="2.08203125" style="215" customWidth="1"/>
    <col min="266" max="267" width="9.33203125" style="215" customWidth="1"/>
    <col min="268" max="268" width="1.08203125" style="215" customWidth="1"/>
    <col min="269" max="270" width="8.75" style="215" customWidth="1"/>
    <col min="271" max="281" width="9.6640625" style="215" customWidth="1"/>
    <col min="282" max="282" width="12.6640625" style="215" customWidth="1"/>
    <col min="283" max="512" width="8.6640625" style="215"/>
    <col min="513" max="513" width="17" style="215" customWidth="1"/>
    <col min="514" max="514" width="9.33203125" style="215" customWidth="1"/>
    <col min="515" max="515" width="1.75" style="215" customWidth="1"/>
    <col min="516" max="517" width="9.33203125" style="215" customWidth="1"/>
    <col min="518" max="518" width="1.08203125" style="215" customWidth="1"/>
    <col min="519" max="520" width="8.75" style="215" customWidth="1"/>
    <col min="521" max="521" width="2.08203125" style="215" customWidth="1"/>
    <col min="522" max="523" width="9.33203125" style="215" customWidth="1"/>
    <col min="524" max="524" width="1.08203125" style="215" customWidth="1"/>
    <col min="525" max="526" width="8.75" style="215" customWidth="1"/>
    <col min="527" max="537" width="9.6640625" style="215" customWidth="1"/>
    <col min="538" max="538" width="12.6640625" style="215" customWidth="1"/>
    <col min="539" max="768" width="8.6640625" style="215"/>
    <col min="769" max="769" width="17" style="215" customWidth="1"/>
    <col min="770" max="770" width="9.33203125" style="215" customWidth="1"/>
    <col min="771" max="771" width="1.75" style="215" customWidth="1"/>
    <col min="772" max="773" width="9.33203125" style="215" customWidth="1"/>
    <col min="774" max="774" width="1.08203125" style="215" customWidth="1"/>
    <col min="775" max="776" width="8.75" style="215" customWidth="1"/>
    <col min="777" max="777" width="2.08203125" style="215" customWidth="1"/>
    <col min="778" max="779" width="9.33203125" style="215" customWidth="1"/>
    <col min="780" max="780" width="1.08203125" style="215" customWidth="1"/>
    <col min="781" max="782" width="8.75" style="215" customWidth="1"/>
    <col min="783" max="793" width="9.6640625" style="215" customWidth="1"/>
    <col min="794" max="794" width="12.6640625" style="215" customWidth="1"/>
    <col min="795" max="1024" width="8.6640625" style="215"/>
    <col min="1025" max="1025" width="17" style="215" customWidth="1"/>
    <col min="1026" max="1026" width="9.33203125" style="215" customWidth="1"/>
    <col min="1027" max="1027" width="1.75" style="215" customWidth="1"/>
    <col min="1028" max="1029" width="9.33203125" style="215" customWidth="1"/>
    <col min="1030" max="1030" width="1.08203125" style="215" customWidth="1"/>
    <col min="1031" max="1032" width="8.75" style="215" customWidth="1"/>
    <col min="1033" max="1033" width="2.08203125" style="215" customWidth="1"/>
    <col min="1034" max="1035" width="9.33203125" style="215" customWidth="1"/>
    <col min="1036" max="1036" width="1.08203125" style="215" customWidth="1"/>
    <col min="1037" max="1038" width="8.75" style="215" customWidth="1"/>
    <col min="1039" max="1049" width="9.6640625" style="215" customWidth="1"/>
    <col min="1050" max="1050" width="12.6640625" style="215" customWidth="1"/>
    <col min="1051" max="1280" width="8.6640625" style="215"/>
    <col min="1281" max="1281" width="17" style="215" customWidth="1"/>
    <col min="1282" max="1282" width="9.33203125" style="215" customWidth="1"/>
    <col min="1283" max="1283" width="1.75" style="215" customWidth="1"/>
    <col min="1284" max="1285" width="9.33203125" style="215" customWidth="1"/>
    <col min="1286" max="1286" width="1.08203125" style="215" customWidth="1"/>
    <col min="1287" max="1288" width="8.75" style="215" customWidth="1"/>
    <col min="1289" max="1289" width="2.08203125" style="215" customWidth="1"/>
    <col min="1290" max="1291" width="9.33203125" style="215" customWidth="1"/>
    <col min="1292" max="1292" width="1.08203125" style="215" customWidth="1"/>
    <col min="1293" max="1294" width="8.75" style="215" customWidth="1"/>
    <col min="1295" max="1305" width="9.6640625" style="215" customWidth="1"/>
    <col min="1306" max="1306" width="12.6640625" style="215" customWidth="1"/>
    <col min="1307" max="1536" width="8.6640625" style="215"/>
    <col min="1537" max="1537" width="17" style="215" customWidth="1"/>
    <col min="1538" max="1538" width="9.33203125" style="215" customWidth="1"/>
    <col min="1539" max="1539" width="1.75" style="215" customWidth="1"/>
    <col min="1540" max="1541" width="9.33203125" style="215" customWidth="1"/>
    <col min="1542" max="1542" width="1.08203125" style="215" customWidth="1"/>
    <col min="1543" max="1544" width="8.75" style="215" customWidth="1"/>
    <col min="1545" max="1545" width="2.08203125" style="215" customWidth="1"/>
    <col min="1546" max="1547" width="9.33203125" style="215" customWidth="1"/>
    <col min="1548" max="1548" width="1.08203125" style="215" customWidth="1"/>
    <col min="1549" max="1550" width="8.75" style="215" customWidth="1"/>
    <col min="1551" max="1561" width="9.6640625" style="215" customWidth="1"/>
    <col min="1562" max="1562" width="12.6640625" style="215" customWidth="1"/>
    <col min="1563" max="1792" width="8.6640625" style="215"/>
    <col min="1793" max="1793" width="17" style="215" customWidth="1"/>
    <col min="1794" max="1794" width="9.33203125" style="215" customWidth="1"/>
    <col min="1795" max="1795" width="1.75" style="215" customWidth="1"/>
    <col min="1796" max="1797" width="9.33203125" style="215" customWidth="1"/>
    <col min="1798" max="1798" width="1.08203125" style="215" customWidth="1"/>
    <col min="1799" max="1800" width="8.75" style="215" customWidth="1"/>
    <col min="1801" max="1801" width="2.08203125" style="215" customWidth="1"/>
    <col min="1802" max="1803" width="9.33203125" style="215" customWidth="1"/>
    <col min="1804" max="1804" width="1.08203125" style="215" customWidth="1"/>
    <col min="1805" max="1806" width="8.75" style="215" customWidth="1"/>
    <col min="1807" max="1817" width="9.6640625" style="215" customWidth="1"/>
    <col min="1818" max="1818" width="12.6640625" style="215" customWidth="1"/>
    <col min="1819" max="2048" width="8.6640625" style="215"/>
    <col min="2049" max="2049" width="17" style="215" customWidth="1"/>
    <col min="2050" max="2050" width="9.33203125" style="215" customWidth="1"/>
    <col min="2051" max="2051" width="1.75" style="215" customWidth="1"/>
    <col min="2052" max="2053" width="9.33203125" style="215" customWidth="1"/>
    <col min="2054" max="2054" width="1.08203125" style="215" customWidth="1"/>
    <col min="2055" max="2056" width="8.75" style="215" customWidth="1"/>
    <col min="2057" max="2057" width="2.08203125" style="215" customWidth="1"/>
    <col min="2058" max="2059" width="9.33203125" style="215" customWidth="1"/>
    <col min="2060" max="2060" width="1.08203125" style="215" customWidth="1"/>
    <col min="2061" max="2062" width="8.75" style="215" customWidth="1"/>
    <col min="2063" max="2073" width="9.6640625" style="215" customWidth="1"/>
    <col min="2074" max="2074" width="12.6640625" style="215" customWidth="1"/>
    <col min="2075" max="2304" width="8.6640625" style="215"/>
    <col min="2305" max="2305" width="17" style="215" customWidth="1"/>
    <col min="2306" max="2306" width="9.33203125" style="215" customWidth="1"/>
    <col min="2307" max="2307" width="1.75" style="215" customWidth="1"/>
    <col min="2308" max="2309" width="9.33203125" style="215" customWidth="1"/>
    <col min="2310" max="2310" width="1.08203125" style="215" customWidth="1"/>
    <col min="2311" max="2312" width="8.75" style="215" customWidth="1"/>
    <col min="2313" max="2313" width="2.08203125" style="215" customWidth="1"/>
    <col min="2314" max="2315" width="9.33203125" style="215" customWidth="1"/>
    <col min="2316" max="2316" width="1.08203125" style="215" customWidth="1"/>
    <col min="2317" max="2318" width="8.75" style="215" customWidth="1"/>
    <col min="2319" max="2329" width="9.6640625" style="215" customWidth="1"/>
    <col min="2330" max="2330" width="12.6640625" style="215" customWidth="1"/>
    <col min="2331" max="2560" width="8.6640625" style="215"/>
    <col min="2561" max="2561" width="17" style="215" customWidth="1"/>
    <col min="2562" max="2562" width="9.33203125" style="215" customWidth="1"/>
    <col min="2563" max="2563" width="1.75" style="215" customWidth="1"/>
    <col min="2564" max="2565" width="9.33203125" style="215" customWidth="1"/>
    <col min="2566" max="2566" width="1.08203125" style="215" customWidth="1"/>
    <col min="2567" max="2568" width="8.75" style="215" customWidth="1"/>
    <col min="2569" max="2569" width="2.08203125" style="215" customWidth="1"/>
    <col min="2570" max="2571" width="9.33203125" style="215" customWidth="1"/>
    <col min="2572" max="2572" width="1.08203125" style="215" customWidth="1"/>
    <col min="2573" max="2574" width="8.75" style="215" customWidth="1"/>
    <col min="2575" max="2585" width="9.6640625" style="215" customWidth="1"/>
    <col min="2586" max="2586" width="12.6640625" style="215" customWidth="1"/>
    <col min="2587" max="2816" width="8.6640625" style="215"/>
    <col min="2817" max="2817" width="17" style="215" customWidth="1"/>
    <col min="2818" max="2818" width="9.33203125" style="215" customWidth="1"/>
    <col min="2819" max="2819" width="1.75" style="215" customWidth="1"/>
    <col min="2820" max="2821" width="9.33203125" style="215" customWidth="1"/>
    <col min="2822" max="2822" width="1.08203125" style="215" customWidth="1"/>
    <col min="2823" max="2824" width="8.75" style="215" customWidth="1"/>
    <col min="2825" max="2825" width="2.08203125" style="215" customWidth="1"/>
    <col min="2826" max="2827" width="9.33203125" style="215" customWidth="1"/>
    <col min="2828" max="2828" width="1.08203125" style="215" customWidth="1"/>
    <col min="2829" max="2830" width="8.75" style="215" customWidth="1"/>
    <col min="2831" max="2841" width="9.6640625" style="215" customWidth="1"/>
    <col min="2842" max="2842" width="12.6640625" style="215" customWidth="1"/>
    <col min="2843" max="3072" width="8.6640625" style="215"/>
    <col min="3073" max="3073" width="17" style="215" customWidth="1"/>
    <col min="3074" max="3074" width="9.33203125" style="215" customWidth="1"/>
    <col min="3075" max="3075" width="1.75" style="215" customWidth="1"/>
    <col min="3076" max="3077" width="9.33203125" style="215" customWidth="1"/>
    <col min="3078" max="3078" width="1.08203125" style="215" customWidth="1"/>
    <col min="3079" max="3080" width="8.75" style="215" customWidth="1"/>
    <col min="3081" max="3081" width="2.08203125" style="215" customWidth="1"/>
    <col min="3082" max="3083" width="9.33203125" style="215" customWidth="1"/>
    <col min="3084" max="3084" width="1.08203125" style="215" customWidth="1"/>
    <col min="3085" max="3086" width="8.75" style="215" customWidth="1"/>
    <col min="3087" max="3097" width="9.6640625" style="215" customWidth="1"/>
    <col min="3098" max="3098" width="12.6640625" style="215" customWidth="1"/>
    <col min="3099" max="3328" width="8.6640625" style="215"/>
    <col min="3329" max="3329" width="17" style="215" customWidth="1"/>
    <col min="3330" max="3330" width="9.33203125" style="215" customWidth="1"/>
    <col min="3331" max="3331" width="1.75" style="215" customWidth="1"/>
    <col min="3332" max="3333" width="9.33203125" style="215" customWidth="1"/>
    <col min="3334" max="3334" width="1.08203125" style="215" customWidth="1"/>
    <col min="3335" max="3336" width="8.75" style="215" customWidth="1"/>
    <col min="3337" max="3337" width="2.08203125" style="215" customWidth="1"/>
    <col min="3338" max="3339" width="9.33203125" style="215" customWidth="1"/>
    <col min="3340" max="3340" width="1.08203125" style="215" customWidth="1"/>
    <col min="3341" max="3342" width="8.75" style="215" customWidth="1"/>
    <col min="3343" max="3353" width="9.6640625" style="215" customWidth="1"/>
    <col min="3354" max="3354" width="12.6640625" style="215" customWidth="1"/>
    <col min="3355" max="3584" width="8.6640625" style="215"/>
    <col min="3585" max="3585" width="17" style="215" customWidth="1"/>
    <col min="3586" max="3586" width="9.33203125" style="215" customWidth="1"/>
    <col min="3587" max="3587" width="1.75" style="215" customWidth="1"/>
    <col min="3588" max="3589" width="9.33203125" style="215" customWidth="1"/>
    <col min="3590" max="3590" width="1.08203125" style="215" customWidth="1"/>
    <col min="3591" max="3592" width="8.75" style="215" customWidth="1"/>
    <col min="3593" max="3593" width="2.08203125" style="215" customWidth="1"/>
    <col min="3594" max="3595" width="9.33203125" style="215" customWidth="1"/>
    <col min="3596" max="3596" width="1.08203125" style="215" customWidth="1"/>
    <col min="3597" max="3598" width="8.75" style="215" customWidth="1"/>
    <col min="3599" max="3609" width="9.6640625" style="215" customWidth="1"/>
    <col min="3610" max="3610" width="12.6640625" style="215" customWidth="1"/>
    <col min="3611" max="3840" width="8.6640625" style="215"/>
    <col min="3841" max="3841" width="17" style="215" customWidth="1"/>
    <col min="3842" max="3842" width="9.33203125" style="215" customWidth="1"/>
    <col min="3843" max="3843" width="1.75" style="215" customWidth="1"/>
    <col min="3844" max="3845" width="9.33203125" style="215" customWidth="1"/>
    <col min="3846" max="3846" width="1.08203125" style="215" customWidth="1"/>
    <col min="3847" max="3848" width="8.75" style="215" customWidth="1"/>
    <col min="3849" max="3849" width="2.08203125" style="215" customWidth="1"/>
    <col min="3850" max="3851" width="9.33203125" style="215" customWidth="1"/>
    <col min="3852" max="3852" width="1.08203125" style="215" customWidth="1"/>
    <col min="3853" max="3854" width="8.75" style="215" customWidth="1"/>
    <col min="3855" max="3865" width="9.6640625" style="215" customWidth="1"/>
    <col min="3866" max="3866" width="12.6640625" style="215" customWidth="1"/>
    <col min="3867" max="4096" width="8.6640625" style="215"/>
    <col min="4097" max="4097" width="17" style="215" customWidth="1"/>
    <col min="4098" max="4098" width="9.33203125" style="215" customWidth="1"/>
    <col min="4099" max="4099" width="1.75" style="215" customWidth="1"/>
    <col min="4100" max="4101" width="9.33203125" style="215" customWidth="1"/>
    <col min="4102" max="4102" width="1.08203125" style="215" customWidth="1"/>
    <col min="4103" max="4104" width="8.75" style="215" customWidth="1"/>
    <col min="4105" max="4105" width="2.08203125" style="215" customWidth="1"/>
    <col min="4106" max="4107" width="9.33203125" style="215" customWidth="1"/>
    <col min="4108" max="4108" width="1.08203125" style="215" customWidth="1"/>
    <col min="4109" max="4110" width="8.75" style="215" customWidth="1"/>
    <col min="4111" max="4121" width="9.6640625" style="215" customWidth="1"/>
    <col min="4122" max="4122" width="12.6640625" style="215" customWidth="1"/>
    <col min="4123" max="4352" width="8.6640625" style="215"/>
    <col min="4353" max="4353" width="17" style="215" customWidth="1"/>
    <col min="4354" max="4354" width="9.33203125" style="215" customWidth="1"/>
    <col min="4355" max="4355" width="1.75" style="215" customWidth="1"/>
    <col min="4356" max="4357" width="9.33203125" style="215" customWidth="1"/>
    <col min="4358" max="4358" width="1.08203125" style="215" customWidth="1"/>
    <col min="4359" max="4360" width="8.75" style="215" customWidth="1"/>
    <col min="4361" max="4361" width="2.08203125" style="215" customWidth="1"/>
    <col min="4362" max="4363" width="9.33203125" style="215" customWidth="1"/>
    <col min="4364" max="4364" width="1.08203125" style="215" customWidth="1"/>
    <col min="4365" max="4366" width="8.75" style="215" customWidth="1"/>
    <col min="4367" max="4377" width="9.6640625" style="215" customWidth="1"/>
    <col min="4378" max="4378" width="12.6640625" style="215" customWidth="1"/>
    <col min="4379" max="4608" width="8.6640625" style="215"/>
    <col min="4609" max="4609" width="17" style="215" customWidth="1"/>
    <col min="4610" max="4610" width="9.33203125" style="215" customWidth="1"/>
    <col min="4611" max="4611" width="1.75" style="215" customWidth="1"/>
    <col min="4612" max="4613" width="9.33203125" style="215" customWidth="1"/>
    <col min="4614" max="4614" width="1.08203125" style="215" customWidth="1"/>
    <col min="4615" max="4616" width="8.75" style="215" customWidth="1"/>
    <col min="4617" max="4617" width="2.08203125" style="215" customWidth="1"/>
    <col min="4618" max="4619" width="9.33203125" style="215" customWidth="1"/>
    <col min="4620" max="4620" width="1.08203125" style="215" customWidth="1"/>
    <col min="4621" max="4622" width="8.75" style="215" customWidth="1"/>
    <col min="4623" max="4633" width="9.6640625" style="215" customWidth="1"/>
    <col min="4634" max="4634" width="12.6640625" style="215" customWidth="1"/>
    <col min="4635" max="4864" width="8.6640625" style="215"/>
    <col min="4865" max="4865" width="17" style="215" customWidth="1"/>
    <col min="4866" max="4866" width="9.33203125" style="215" customWidth="1"/>
    <col min="4867" max="4867" width="1.75" style="215" customWidth="1"/>
    <col min="4868" max="4869" width="9.33203125" style="215" customWidth="1"/>
    <col min="4870" max="4870" width="1.08203125" style="215" customWidth="1"/>
    <col min="4871" max="4872" width="8.75" style="215" customWidth="1"/>
    <col min="4873" max="4873" width="2.08203125" style="215" customWidth="1"/>
    <col min="4874" max="4875" width="9.33203125" style="215" customWidth="1"/>
    <col min="4876" max="4876" width="1.08203125" style="215" customWidth="1"/>
    <col min="4877" max="4878" width="8.75" style="215" customWidth="1"/>
    <col min="4879" max="4889" width="9.6640625" style="215" customWidth="1"/>
    <col min="4890" max="4890" width="12.6640625" style="215" customWidth="1"/>
    <col min="4891" max="5120" width="8.6640625" style="215"/>
    <col min="5121" max="5121" width="17" style="215" customWidth="1"/>
    <col min="5122" max="5122" width="9.33203125" style="215" customWidth="1"/>
    <col min="5123" max="5123" width="1.75" style="215" customWidth="1"/>
    <col min="5124" max="5125" width="9.33203125" style="215" customWidth="1"/>
    <col min="5126" max="5126" width="1.08203125" style="215" customWidth="1"/>
    <col min="5127" max="5128" width="8.75" style="215" customWidth="1"/>
    <col min="5129" max="5129" width="2.08203125" style="215" customWidth="1"/>
    <col min="5130" max="5131" width="9.33203125" style="215" customWidth="1"/>
    <col min="5132" max="5132" width="1.08203125" style="215" customWidth="1"/>
    <col min="5133" max="5134" width="8.75" style="215" customWidth="1"/>
    <col min="5135" max="5145" width="9.6640625" style="215" customWidth="1"/>
    <col min="5146" max="5146" width="12.6640625" style="215" customWidth="1"/>
    <col min="5147" max="5376" width="8.6640625" style="215"/>
    <col min="5377" max="5377" width="17" style="215" customWidth="1"/>
    <col min="5378" max="5378" width="9.33203125" style="215" customWidth="1"/>
    <col min="5379" max="5379" width="1.75" style="215" customWidth="1"/>
    <col min="5380" max="5381" width="9.33203125" style="215" customWidth="1"/>
    <col min="5382" max="5382" width="1.08203125" style="215" customWidth="1"/>
    <col min="5383" max="5384" width="8.75" style="215" customWidth="1"/>
    <col min="5385" max="5385" width="2.08203125" style="215" customWidth="1"/>
    <col min="5386" max="5387" width="9.33203125" style="215" customWidth="1"/>
    <col min="5388" max="5388" width="1.08203125" style="215" customWidth="1"/>
    <col min="5389" max="5390" width="8.75" style="215" customWidth="1"/>
    <col min="5391" max="5401" width="9.6640625" style="215" customWidth="1"/>
    <col min="5402" max="5402" width="12.6640625" style="215" customWidth="1"/>
    <col min="5403" max="5632" width="8.6640625" style="215"/>
    <col min="5633" max="5633" width="17" style="215" customWidth="1"/>
    <col min="5634" max="5634" width="9.33203125" style="215" customWidth="1"/>
    <col min="5635" max="5635" width="1.75" style="215" customWidth="1"/>
    <col min="5636" max="5637" width="9.33203125" style="215" customWidth="1"/>
    <col min="5638" max="5638" width="1.08203125" style="215" customWidth="1"/>
    <col min="5639" max="5640" width="8.75" style="215" customWidth="1"/>
    <col min="5641" max="5641" width="2.08203125" style="215" customWidth="1"/>
    <col min="5642" max="5643" width="9.33203125" style="215" customWidth="1"/>
    <col min="5644" max="5644" width="1.08203125" style="215" customWidth="1"/>
    <col min="5645" max="5646" width="8.75" style="215" customWidth="1"/>
    <col min="5647" max="5657" width="9.6640625" style="215" customWidth="1"/>
    <col min="5658" max="5658" width="12.6640625" style="215" customWidth="1"/>
    <col min="5659" max="5888" width="8.6640625" style="215"/>
    <col min="5889" max="5889" width="17" style="215" customWidth="1"/>
    <col min="5890" max="5890" width="9.33203125" style="215" customWidth="1"/>
    <col min="5891" max="5891" width="1.75" style="215" customWidth="1"/>
    <col min="5892" max="5893" width="9.33203125" style="215" customWidth="1"/>
    <col min="5894" max="5894" width="1.08203125" style="215" customWidth="1"/>
    <col min="5895" max="5896" width="8.75" style="215" customWidth="1"/>
    <col min="5897" max="5897" width="2.08203125" style="215" customWidth="1"/>
    <col min="5898" max="5899" width="9.33203125" style="215" customWidth="1"/>
    <col min="5900" max="5900" width="1.08203125" style="215" customWidth="1"/>
    <col min="5901" max="5902" width="8.75" style="215" customWidth="1"/>
    <col min="5903" max="5913" width="9.6640625" style="215" customWidth="1"/>
    <col min="5914" max="5914" width="12.6640625" style="215" customWidth="1"/>
    <col min="5915" max="6144" width="8.6640625" style="215"/>
    <col min="6145" max="6145" width="17" style="215" customWidth="1"/>
    <col min="6146" max="6146" width="9.33203125" style="215" customWidth="1"/>
    <col min="6147" max="6147" width="1.75" style="215" customWidth="1"/>
    <col min="6148" max="6149" width="9.33203125" style="215" customWidth="1"/>
    <col min="6150" max="6150" width="1.08203125" style="215" customWidth="1"/>
    <col min="6151" max="6152" width="8.75" style="215" customWidth="1"/>
    <col min="6153" max="6153" width="2.08203125" style="215" customWidth="1"/>
    <col min="6154" max="6155" width="9.33203125" style="215" customWidth="1"/>
    <col min="6156" max="6156" width="1.08203125" style="215" customWidth="1"/>
    <col min="6157" max="6158" width="8.75" style="215" customWidth="1"/>
    <col min="6159" max="6169" width="9.6640625" style="215" customWidth="1"/>
    <col min="6170" max="6170" width="12.6640625" style="215" customWidth="1"/>
    <col min="6171" max="6400" width="8.6640625" style="215"/>
    <col min="6401" max="6401" width="17" style="215" customWidth="1"/>
    <col min="6402" max="6402" width="9.33203125" style="215" customWidth="1"/>
    <col min="6403" max="6403" width="1.75" style="215" customWidth="1"/>
    <col min="6404" max="6405" width="9.33203125" style="215" customWidth="1"/>
    <col min="6406" max="6406" width="1.08203125" style="215" customWidth="1"/>
    <col min="6407" max="6408" width="8.75" style="215" customWidth="1"/>
    <col min="6409" max="6409" width="2.08203125" style="215" customWidth="1"/>
    <col min="6410" max="6411" width="9.33203125" style="215" customWidth="1"/>
    <col min="6412" max="6412" width="1.08203125" style="215" customWidth="1"/>
    <col min="6413" max="6414" width="8.75" style="215" customWidth="1"/>
    <col min="6415" max="6425" width="9.6640625" style="215" customWidth="1"/>
    <col min="6426" max="6426" width="12.6640625" style="215" customWidth="1"/>
    <col min="6427" max="6656" width="8.6640625" style="215"/>
    <col min="6657" max="6657" width="17" style="215" customWidth="1"/>
    <col min="6658" max="6658" width="9.33203125" style="215" customWidth="1"/>
    <col min="6659" max="6659" width="1.75" style="215" customWidth="1"/>
    <col min="6660" max="6661" width="9.33203125" style="215" customWidth="1"/>
    <col min="6662" max="6662" width="1.08203125" style="215" customWidth="1"/>
    <col min="6663" max="6664" width="8.75" style="215" customWidth="1"/>
    <col min="6665" max="6665" width="2.08203125" style="215" customWidth="1"/>
    <col min="6666" max="6667" width="9.33203125" style="215" customWidth="1"/>
    <col min="6668" max="6668" width="1.08203125" style="215" customWidth="1"/>
    <col min="6669" max="6670" width="8.75" style="215" customWidth="1"/>
    <col min="6671" max="6681" width="9.6640625" style="215" customWidth="1"/>
    <col min="6682" max="6682" width="12.6640625" style="215" customWidth="1"/>
    <col min="6683" max="6912" width="8.6640625" style="215"/>
    <col min="6913" max="6913" width="17" style="215" customWidth="1"/>
    <col min="6914" max="6914" width="9.33203125" style="215" customWidth="1"/>
    <col min="6915" max="6915" width="1.75" style="215" customWidth="1"/>
    <col min="6916" max="6917" width="9.33203125" style="215" customWidth="1"/>
    <col min="6918" max="6918" width="1.08203125" style="215" customWidth="1"/>
    <col min="6919" max="6920" width="8.75" style="215" customWidth="1"/>
    <col min="6921" max="6921" width="2.08203125" style="215" customWidth="1"/>
    <col min="6922" max="6923" width="9.33203125" style="215" customWidth="1"/>
    <col min="6924" max="6924" width="1.08203125" style="215" customWidth="1"/>
    <col min="6925" max="6926" width="8.75" style="215" customWidth="1"/>
    <col min="6927" max="6937" width="9.6640625" style="215" customWidth="1"/>
    <col min="6938" max="6938" width="12.6640625" style="215" customWidth="1"/>
    <col min="6939" max="7168" width="8.6640625" style="215"/>
    <col min="7169" max="7169" width="17" style="215" customWidth="1"/>
    <col min="7170" max="7170" width="9.33203125" style="215" customWidth="1"/>
    <col min="7171" max="7171" width="1.75" style="215" customWidth="1"/>
    <col min="7172" max="7173" width="9.33203125" style="215" customWidth="1"/>
    <col min="7174" max="7174" width="1.08203125" style="215" customWidth="1"/>
    <col min="7175" max="7176" width="8.75" style="215" customWidth="1"/>
    <col min="7177" max="7177" width="2.08203125" style="215" customWidth="1"/>
    <col min="7178" max="7179" width="9.33203125" style="215" customWidth="1"/>
    <col min="7180" max="7180" width="1.08203125" style="215" customWidth="1"/>
    <col min="7181" max="7182" width="8.75" style="215" customWidth="1"/>
    <col min="7183" max="7193" width="9.6640625" style="215" customWidth="1"/>
    <col min="7194" max="7194" width="12.6640625" style="215" customWidth="1"/>
    <col min="7195" max="7424" width="8.6640625" style="215"/>
    <col min="7425" max="7425" width="17" style="215" customWidth="1"/>
    <col min="7426" max="7426" width="9.33203125" style="215" customWidth="1"/>
    <col min="7427" max="7427" width="1.75" style="215" customWidth="1"/>
    <col min="7428" max="7429" width="9.33203125" style="215" customWidth="1"/>
    <col min="7430" max="7430" width="1.08203125" style="215" customWidth="1"/>
    <col min="7431" max="7432" width="8.75" style="215" customWidth="1"/>
    <col min="7433" max="7433" width="2.08203125" style="215" customWidth="1"/>
    <col min="7434" max="7435" width="9.33203125" style="215" customWidth="1"/>
    <col min="7436" max="7436" width="1.08203125" style="215" customWidth="1"/>
    <col min="7437" max="7438" width="8.75" style="215" customWidth="1"/>
    <col min="7439" max="7449" width="9.6640625" style="215" customWidth="1"/>
    <col min="7450" max="7450" width="12.6640625" style="215" customWidth="1"/>
    <col min="7451" max="7680" width="8.6640625" style="215"/>
    <col min="7681" max="7681" width="17" style="215" customWidth="1"/>
    <col min="7682" max="7682" width="9.33203125" style="215" customWidth="1"/>
    <col min="7683" max="7683" width="1.75" style="215" customWidth="1"/>
    <col min="7684" max="7685" width="9.33203125" style="215" customWidth="1"/>
    <col min="7686" max="7686" width="1.08203125" style="215" customWidth="1"/>
    <col min="7687" max="7688" width="8.75" style="215" customWidth="1"/>
    <col min="7689" max="7689" width="2.08203125" style="215" customWidth="1"/>
    <col min="7690" max="7691" width="9.33203125" style="215" customWidth="1"/>
    <col min="7692" max="7692" width="1.08203125" style="215" customWidth="1"/>
    <col min="7693" max="7694" width="8.75" style="215" customWidth="1"/>
    <col min="7695" max="7705" width="9.6640625" style="215" customWidth="1"/>
    <col min="7706" max="7706" width="12.6640625" style="215" customWidth="1"/>
    <col min="7707" max="7936" width="8.6640625" style="215"/>
    <col min="7937" max="7937" width="17" style="215" customWidth="1"/>
    <col min="7938" max="7938" width="9.33203125" style="215" customWidth="1"/>
    <col min="7939" max="7939" width="1.75" style="215" customWidth="1"/>
    <col min="7940" max="7941" width="9.33203125" style="215" customWidth="1"/>
    <col min="7942" max="7942" width="1.08203125" style="215" customWidth="1"/>
    <col min="7943" max="7944" width="8.75" style="215" customWidth="1"/>
    <col min="7945" max="7945" width="2.08203125" style="215" customWidth="1"/>
    <col min="7946" max="7947" width="9.33203125" style="215" customWidth="1"/>
    <col min="7948" max="7948" width="1.08203125" style="215" customWidth="1"/>
    <col min="7949" max="7950" width="8.75" style="215" customWidth="1"/>
    <col min="7951" max="7961" width="9.6640625" style="215" customWidth="1"/>
    <col min="7962" max="7962" width="12.6640625" style="215" customWidth="1"/>
    <col min="7963" max="8192" width="8.6640625" style="215"/>
    <col min="8193" max="8193" width="17" style="215" customWidth="1"/>
    <col min="8194" max="8194" width="9.33203125" style="215" customWidth="1"/>
    <col min="8195" max="8195" width="1.75" style="215" customWidth="1"/>
    <col min="8196" max="8197" width="9.33203125" style="215" customWidth="1"/>
    <col min="8198" max="8198" width="1.08203125" style="215" customWidth="1"/>
    <col min="8199" max="8200" width="8.75" style="215" customWidth="1"/>
    <col min="8201" max="8201" width="2.08203125" style="215" customWidth="1"/>
    <col min="8202" max="8203" width="9.33203125" style="215" customWidth="1"/>
    <col min="8204" max="8204" width="1.08203125" style="215" customWidth="1"/>
    <col min="8205" max="8206" width="8.75" style="215" customWidth="1"/>
    <col min="8207" max="8217" width="9.6640625" style="215" customWidth="1"/>
    <col min="8218" max="8218" width="12.6640625" style="215" customWidth="1"/>
    <col min="8219" max="8448" width="8.6640625" style="215"/>
    <col min="8449" max="8449" width="17" style="215" customWidth="1"/>
    <col min="8450" max="8450" width="9.33203125" style="215" customWidth="1"/>
    <col min="8451" max="8451" width="1.75" style="215" customWidth="1"/>
    <col min="8452" max="8453" width="9.33203125" style="215" customWidth="1"/>
    <col min="8454" max="8454" width="1.08203125" style="215" customWidth="1"/>
    <col min="8455" max="8456" width="8.75" style="215" customWidth="1"/>
    <col min="8457" max="8457" width="2.08203125" style="215" customWidth="1"/>
    <col min="8458" max="8459" width="9.33203125" style="215" customWidth="1"/>
    <col min="8460" max="8460" width="1.08203125" style="215" customWidth="1"/>
    <col min="8461" max="8462" width="8.75" style="215" customWidth="1"/>
    <col min="8463" max="8473" width="9.6640625" style="215" customWidth="1"/>
    <col min="8474" max="8474" width="12.6640625" style="215" customWidth="1"/>
    <col min="8475" max="8704" width="8.6640625" style="215"/>
    <col min="8705" max="8705" width="17" style="215" customWidth="1"/>
    <col min="8706" max="8706" width="9.33203125" style="215" customWidth="1"/>
    <col min="8707" max="8707" width="1.75" style="215" customWidth="1"/>
    <col min="8708" max="8709" width="9.33203125" style="215" customWidth="1"/>
    <col min="8710" max="8710" width="1.08203125" style="215" customWidth="1"/>
    <col min="8711" max="8712" width="8.75" style="215" customWidth="1"/>
    <col min="8713" max="8713" width="2.08203125" style="215" customWidth="1"/>
    <col min="8714" max="8715" width="9.33203125" style="215" customWidth="1"/>
    <col min="8716" max="8716" width="1.08203125" style="215" customWidth="1"/>
    <col min="8717" max="8718" width="8.75" style="215" customWidth="1"/>
    <col min="8719" max="8729" width="9.6640625" style="215" customWidth="1"/>
    <col min="8730" max="8730" width="12.6640625" style="215" customWidth="1"/>
    <col min="8731" max="8960" width="8.6640625" style="215"/>
    <col min="8961" max="8961" width="17" style="215" customWidth="1"/>
    <col min="8962" max="8962" width="9.33203125" style="215" customWidth="1"/>
    <col min="8963" max="8963" width="1.75" style="215" customWidth="1"/>
    <col min="8964" max="8965" width="9.33203125" style="215" customWidth="1"/>
    <col min="8966" max="8966" width="1.08203125" style="215" customWidth="1"/>
    <col min="8967" max="8968" width="8.75" style="215" customWidth="1"/>
    <col min="8969" max="8969" width="2.08203125" style="215" customWidth="1"/>
    <col min="8970" max="8971" width="9.33203125" style="215" customWidth="1"/>
    <col min="8972" max="8972" width="1.08203125" style="215" customWidth="1"/>
    <col min="8973" max="8974" width="8.75" style="215" customWidth="1"/>
    <col min="8975" max="8985" width="9.6640625" style="215" customWidth="1"/>
    <col min="8986" max="8986" width="12.6640625" style="215" customWidth="1"/>
    <col min="8987" max="9216" width="8.6640625" style="215"/>
    <col min="9217" max="9217" width="17" style="215" customWidth="1"/>
    <col min="9218" max="9218" width="9.33203125" style="215" customWidth="1"/>
    <col min="9219" max="9219" width="1.75" style="215" customWidth="1"/>
    <col min="9220" max="9221" width="9.33203125" style="215" customWidth="1"/>
    <col min="9222" max="9222" width="1.08203125" style="215" customWidth="1"/>
    <col min="9223" max="9224" width="8.75" style="215" customWidth="1"/>
    <col min="9225" max="9225" width="2.08203125" style="215" customWidth="1"/>
    <col min="9226" max="9227" width="9.33203125" style="215" customWidth="1"/>
    <col min="9228" max="9228" width="1.08203125" style="215" customWidth="1"/>
    <col min="9229" max="9230" width="8.75" style="215" customWidth="1"/>
    <col min="9231" max="9241" width="9.6640625" style="215" customWidth="1"/>
    <col min="9242" max="9242" width="12.6640625" style="215" customWidth="1"/>
    <col min="9243" max="9472" width="8.6640625" style="215"/>
    <col min="9473" max="9473" width="17" style="215" customWidth="1"/>
    <col min="9474" max="9474" width="9.33203125" style="215" customWidth="1"/>
    <col min="9475" max="9475" width="1.75" style="215" customWidth="1"/>
    <col min="9476" max="9477" width="9.33203125" style="215" customWidth="1"/>
    <col min="9478" max="9478" width="1.08203125" style="215" customWidth="1"/>
    <col min="9479" max="9480" width="8.75" style="215" customWidth="1"/>
    <col min="9481" max="9481" width="2.08203125" style="215" customWidth="1"/>
    <col min="9482" max="9483" width="9.33203125" style="215" customWidth="1"/>
    <col min="9484" max="9484" width="1.08203125" style="215" customWidth="1"/>
    <col min="9485" max="9486" width="8.75" style="215" customWidth="1"/>
    <col min="9487" max="9497" width="9.6640625" style="215" customWidth="1"/>
    <col min="9498" max="9498" width="12.6640625" style="215" customWidth="1"/>
    <col min="9499" max="9728" width="8.6640625" style="215"/>
    <col min="9729" max="9729" width="17" style="215" customWidth="1"/>
    <col min="9730" max="9730" width="9.33203125" style="215" customWidth="1"/>
    <col min="9731" max="9731" width="1.75" style="215" customWidth="1"/>
    <col min="9732" max="9733" width="9.33203125" style="215" customWidth="1"/>
    <col min="9734" max="9734" width="1.08203125" style="215" customWidth="1"/>
    <col min="9735" max="9736" width="8.75" style="215" customWidth="1"/>
    <col min="9737" max="9737" width="2.08203125" style="215" customWidth="1"/>
    <col min="9738" max="9739" width="9.33203125" style="215" customWidth="1"/>
    <col min="9740" max="9740" width="1.08203125" style="215" customWidth="1"/>
    <col min="9741" max="9742" width="8.75" style="215" customWidth="1"/>
    <col min="9743" max="9753" width="9.6640625" style="215" customWidth="1"/>
    <col min="9754" max="9754" width="12.6640625" style="215" customWidth="1"/>
    <col min="9755" max="9984" width="8.6640625" style="215"/>
    <col min="9985" max="9985" width="17" style="215" customWidth="1"/>
    <col min="9986" max="9986" width="9.33203125" style="215" customWidth="1"/>
    <col min="9987" max="9987" width="1.75" style="215" customWidth="1"/>
    <col min="9988" max="9989" width="9.33203125" style="215" customWidth="1"/>
    <col min="9990" max="9990" width="1.08203125" style="215" customWidth="1"/>
    <col min="9991" max="9992" width="8.75" style="215" customWidth="1"/>
    <col min="9993" max="9993" width="2.08203125" style="215" customWidth="1"/>
    <col min="9994" max="9995" width="9.33203125" style="215" customWidth="1"/>
    <col min="9996" max="9996" width="1.08203125" style="215" customWidth="1"/>
    <col min="9997" max="9998" width="8.75" style="215" customWidth="1"/>
    <col min="9999" max="10009" width="9.6640625" style="215" customWidth="1"/>
    <col min="10010" max="10010" width="12.6640625" style="215" customWidth="1"/>
    <col min="10011" max="10240" width="8.6640625" style="215"/>
    <col min="10241" max="10241" width="17" style="215" customWidth="1"/>
    <col min="10242" max="10242" width="9.33203125" style="215" customWidth="1"/>
    <col min="10243" max="10243" width="1.75" style="215" customWidth="1"/>
    <col min="10244" max="10245" width="9.33203125" style="215" customWidth="1"/>
    <col min="10246" max="10246" width="1.08203125" style="215" customWidth="1"/>
    <col min="10247" max="10248" width="8.75" style="215" customWidth="1"/>
    <col min="10249" max="10249" width="2.08203125" style="215" customWidth="1"/>
    <col min="10250" max="10251" width="9.33203125" style="215" customWidth="1"/>
    <col min="10252" max="10252" width="1.08203125" style="215" customWidth="1"/>
    <col min="10253" max="10254" width="8.75" style="215" customWidth="1"/>
    <col min="10255" max="10265" width="9.6640625" style="215" customWidth="1"/>
    <col min="10266" max="10266" width="12.6640625" style="215" customWidth="1"/>
    <col min="10267" max="10496" width="8.6640625" style="215"/>
    <col min="10497" max="10497" width="17" style="215" customWidth="1"/>
    <col min="10498" max="10498" width="9.33203125" style="215" customWidth="1"/>
    <col min="10499" max="10499" width="1.75" style="215" customWidth="1"/>
    <col min="10500" max="10501" width="9.33203125" style="215" customWidth="1"/>
    <col min="10502" max="10502" width="1.08203125" style="215" customWidth="1"/>
    <col min="10503" max="10504" width="8.75" style="215" customWidth="1"/>
    <col min="10505" max="10505" width="2.08203125" style="215" customWidth="1"/>
    <col min="10506" max="10507" width="9.33203125" style="215" customWidth="1"/>
    <col min="10508" max="10508" width="1.08203125" style="215" customWidth="1"/>
    <col min="10509" max="10510" width="8.75" style="215" customWidth="1"/>
    <col min="10511" max="10521" width="9.6640625" style="215" customWidth="1"/>
    <col min="10522" max="10522" width="12.6640625" style="215" customWidth="1"/>
    <col min="10523" max="10752" width="8.6640625" style="215"/>
    <col min="10753" max="10753" width="17" style="215" customWidth="1"/>
    <col min="10754" max="10754" width="9.33203125" style="215" customWidth="1"/>
    <col min="10755" max="10755" width="1.75" style="215" customWidth="1"/>
    <col min="10756" max="10757" width="9.33203125" style="215" customWidth="1"/>
    <col min="10758" max="10758" width="1.08203125" style="215" customWidth="1"/>
    <col min="10759" max="10760" width="8.75" style="215" customWidth="1"/>
    <col min="10761" max="10761" width="2.08203125" style="215" customWidth="1"/>
    <col min="10762" max="10763" width="9.33203125" style="215" customWidth="1"/>
    <col min="10764" max="10764" width="1.08203125" style="215" customWidth="1"/>
    <col min="10765" max="10766" width="8.75" style="215" customWidth="1"/>
    <col min="10767" max="10777" width="9.6640625" style="215" customWidth="1"/>
    <col min="10778" max="10778" width="12.6640625" style="215" customWidth="1"/>
    <col min="10779" max="11008" width="8.6640625" style="215"/>
    <col min="11009" max="11009" width="17" style="215" customWidth="1"/>
    <col min="11010" max="11010" width="9.33203125" style="215" customWidth="1"/>
    <col min="11011" max="11011" width="1.75" style="215" customWidth="1"/>
    <col min="11012" max="11013" width="9.33203125" style="215" customWidth="1"/>
    <col min="11014" max="11014" width="1.08203125" style="215" customWidth="1"/>
    <col min="11015" max="11016" width="8.75" style="215" customWidth="1"/>
    <col min="11017" max="11017" width="2.08203125" style="215" customWidth="1"/>
    <col min="11018" max="11019" width="9.33203125" style="215" customWidth="1"/>
    <col min="11020" max="11020" width="1.08203125" style="215" customWidth="1"/>
    <col min="11021" max="11022" width="8.75" style="215" customWidth="1"/>
    <col min="11023" max="11033" width="9.6640625" style="215" customWidth="1"/>
    <col min="11034" max="11034" width="12.6640625" style="215" customWidth="1"/>
    <col min="11035" max="11264" width="8.6640625" style="215"/>
    <col min="11265" max="11265" width="17" style="215" customWidth="1"/>
    <col min="11266" max="11266" width="9.33203125" style="215" customWidth="1"/>
    <col min="11267" max="11267" width="1.75" style="215" customWidth="1"/>
    <col min="11268" max="11269" width="9.33203125" style="215" customWidth="1"/>
    <col min="11270" max="11270" width="1.08203125" style="215" customWidth="1"/>
    <col min="11271" max="11272" width="8.75" style="215" customWidth="1"/>
    <col min="11273" max="11273" width="2.08203125" style="215" customWidth="1"/>
    <col min="11274" max="11275" width="9.33203125" style="215" customWidth="1"/>
    <col min="11276" max="11276" width="1.08203125" style="215" customWidth="1"/>
    <col min="11277" max="11278" width="8.75" style="215" customWidth="1"/>
    <col min="11279" max="11289" width="9.6640625" style="215" customWidth="1"/>
    <col min="11290" max="11290" width="12.6640625" style="215" customWidth="1"/>
    <col min="11291" max="11520" width="8.6640625" style="215"/>
    <col min="11521" max="11521" width="17" style="215" customWidth="1"/>
    <col min="11522" max="11522" width="9.33203125" style="215" customWidth="1"/>
    <col min="11523" max="11523" width="1.75" style="215" customWidth="1"/>
    <col min="11524" max="11525" width="9.33203125" style="215" customWidth="1"/>
    <col min="11526" max="11526" width="1.08203125" style="215" customWidth="1"/>
    <col min="11527" max="11528" width="8.75" style="215" customWidth="1"/>
    <col min="11529" max="11529" width="2.08203125" style="215" customWidth="1"/>
    <col min="11530" max="11531" width="9.33203125" style="215" customWidth="1"/>
    <col min="11532" max="11532" width="1.08203125" style="215" customWidth="1"/>
    <col min="11533" max="11534" width="8.75" style="215" customWidth="1"/>
    <col min="11535" max="11545" width="9.6640625" style="215" customWidth="1"/>
    <col min="11546" max="11546" width="12.6640625" style="215" customWidth="1"/>
    <col min="11547" max="11776" width="8.6640625" style="215"/>
    <col min="11777" max="11777" width="17" style="215" customWidth="1"/>
    <col min="11778" max="11778" width="9.33203125" style="215" customWidth="1"/>
    <col min="11779" max="11779" width="1.75" style="215" customWidth="1"/>
    <col min="11780" max="11781" width="9.33203125" style="215" customWidth="1"/>
    <col min="11782" max="11782" width="1.08203125" style="215" customWidth="1"/>
    <col min="11783" max="11784" width="8.75" style="215" customWidth="1"/>
    <col min="11785" max="11785" width="2.08203125" style="215" customWidth="1"/>
    <col min="11786" max="11787" width="9.33203125" style="215" customWidth="1"/>
    <col min="11788" max="11788" width="1.08203125" style="215" customWidth="1"/>
    <col min="11789" max="11790" width="8.75" style="215" customWidth="1"/>
    <col min="11791" max="11801" width="9.6640625" style="215" customWidth="1"/>
    <col min="11802" max="11802" width="12.6640625" style="215" customWidth="1"/>
    <col min="11803" max="12032" width="8.6640625" style="215"/>
    <col min="12033" max="12033" width="17" style="215" customWidth="1"/>
    <col min="12034" max="12034" width="9.33203125" style="215" customWidth="1"/>
    <col min="12035" max="12035" width="1.75" style="215" customWidth="1"/>
    <col min="12036" max="12037" width="9.33203125" style="215" customWidth="1"/>
    <col min="12038" max="12038" width="1.08203125" style="215" customWidth="1"/>
    <col min="12039" max="12040" width="8.75" style="215" customWidth="1"/>
    <col min="12041" max="12041" width="2.08203125" style="215" customWidth="1"/>
    <col min="12042" max="12043" width="9.33203125" style="215" customWidth="1"/>
    <col min="12044" max="12044" width="1.08203125" style="215" customWidth="1"/>
    <col min="12045" max="12046" width="8.75" style="215" customWidth="1"/>
    <col min="12047" max="12057" width="9.6640625" style="215" customWidth="1"/>
    <col min="12058" max="12058" width="12.6640625" style="215" customWidth="1"/>
    <col min="12059" max="12288" width="8.6640625" style="215"/>
    <col min="12289" max="12289" width="17" style="215" customWidth="1"/>
    <col min="12290" max="12290" width="9.33203125" style="215" customWidth="1"/>
    <col min="12291" max="12291" width="1.75" style="215" customWidth="1"/>
    <col min="12292" max="12293" width="9.33203125" style="215" customWidth="1"/>
    <col min="12294" max="12294" width="1.08203125" style="215" customWidth="1"/>
    <col min="12295" max="12296" width="8.75" style="215" customWidth="1"/>
    <col min="12297" max="12297" width="2.08203125" style="215" customWidth="1"/>
    <col min="12298" max="12299" width="9.33203125" style="215" customWidth="1"/>
    <col min="12300" max="12300" width="1.08203125" style="215" customWidth="1"/>
    <col min="12301" max="12302" width="8.75" style="215" customWidth="1"/>
    <col min="12303" max="12313" width="9.6640625" style="215" customWidth="1"/>
    <col min="12314" max="12314" width="12.6640625" style="215" customWidth="1"/>
    <col min="12315" max="12544" width="8.6640625" style="215"/>
    <col min="12545" max="12545" width="17" style="215" customWidth="1"/>
    <col min="12546" max="12546" width="9.33203125" style="215" customWidth="1"/>
    <col min="12547" max="12547" width="1.75" style="215" customWidth="1"/>
    <col min="12548" max="12549" width="9.33203125" style="215" customWidth="1"/>
    <col min="12550" max="12550" width="1.08203125" style="215" customWidth="1"/>
    <col min="12551" max="12552" width="8.75" style="215" customWidth="1"/>
    <col min="12553" max="12553" width="2.08203125" style="215" customWidth="1"/>
    <col min="12554" max="12555" width="9.33203125" style="215" customWidth="1"/>
    <col min="12556" max="12556" width="1.08203125" style="215" customWidth="1"/>
    <col min="12557" max="12558" width="8.75" style="215" customWidth="1"/>
    <col min="12559" max="12569" width="9.6640625" style="215" customWidth="1"/>
    <col min="12570" max="12570" width="12.6640625" style="215" customWidth="1"/>
    <col min="12571" max="12800" width="8.6640625" style="215"/>
    <col min="12801" max="12801" width="17" style="215" customWidth="1"/>
    <col min="12802" max="12802" width="9.33203125" style="215" customWidth="1"/>
    <col min="12803" max="12803" width="1.75" style="215" customWidth="1"/>
    <col min="12804" max="12805" width="9.33203125" style="215" customWidth="1"/>
    <col min="12806" max="12806" width="1.08203125" style="215" customWidth="1"/>
    <col min="12807" max="12808" width="8.75" style="215" customWidth="1"/>
    <col min="12809" max="12809" width="2.08203125" style="215" customWidth="1"/>
    <col min="12810" max="12811" width="9.33203125" style="215" customWidth="1"/>
    <col min="12812" max="12812" width="1.08203125" style="215" customWidth="1"/>
    <col min="12813" max="12814" width="8.75" style="215" customWidth="1"/>
    <col min="12815" max="12825" width="9.6640625" style="215" customWidth="1"/>
    <col min="12826" max="12826" width="12.6640625" style="215" customWidth="1"/>
    <col min="12827" max="13056" width="8.6640625" style="215"/>
    <col min="13057" max="13057" width="17" style="215" customWidth="1"/>
    <col min="13058" max="13058" width="9.33203125" style="215" customWidth="1"/>
    <col min="13059" max="13059" width="1.75" style="215" customWidth="1"/>
    <col min="13060" max="13061" width="9.33203125" style="215" customWidth="1"/>
    <col min="13062" max="13062" width="1.08203125" style="215" customWidth="1"/>
    <col min="13063" max="13064" width="8.75" style="215" customWidth="1"/>
    <col min="13065" max="13065" width="2.08203125" style="215" customWidth="1"/>
    <col min="13066" max="13067" width="9.33203125" style="215" customWidth="1"/>
    <col min="13068" max="13068" width="1.08203125" style="215" customWidth="1"/>
    <col min="13069" max="13070" width="8.75" style="215" customWidth="1"/>
    <col min="13071" max="13081" width="9.6640625" style="215" customWidth="1"/>
    <col min="13082" max="13082" width="12.6640625" style="215" customWidth="1"/>
    <col min="13083" max="13312" width="8.6640625" style="215"/>
    <col min="13313" max="13313" width="17" style="215" customWidth="1"/>
    <col min="13314" max="13314" width="9.33203125" style="215" customWidth="1"/>
    <col min="13315" max="13315" width="1.75" style="215" customWidth="1"/>
    <col min="13316" max="13317" width="9.33203125" style="215" customWidth="1"/>
    <col min="13318" max="13318" width="1.08203125" style="215" customWidth="1"/>
    <col min="13319" max="13320" width="8.75" style="215" customWidth="1"/>
    <col min="13321" max="13321" width="2.08203125" style="215" customWidth="1"/>
    <col min="13322" max="13323" width="9.33203125" style="215" customWidth="1"/>
    <col min="13324" max="13324" width="1.08203125" style="215" customWidth="1"/>
    <col min="13325" max="13326" width="8.75" style="215" customWidth="1"/>
    <col min="13327" max="13337" width="9.6640625" style="215" customWidth="1"/>
    <col min="13338" max="13338" width="12.6640625" style="215" customWidth="1"/>
    <col min="13339" max="13568" width="8.6640625" style="215"/>
    <col min="13569" max="13569" width="17" style="215" customWidth="1"/>
    <col min="13570" max="13570" width="9.33203125" style="215" customWidth="1"/>
    <col min="13571" max="13571" width="1.75" style="215" customWidth="1"/>
    <col min="13572" max="13573" width="9.33203125" style="215" customWidth="1"/>
    <col min="13574" max="13574" width="1.08203125" style="215" customWidth="1"/>
    <col min="13575" max="13576" width="8.75" style="215" customWidth="1"/>
    <col min="13577" max="13577" width="2.08203125" style="215" customWidth="1"/>
    <col min="13578" max="13579" width="9.33203125" style="215" customWidth="1"/>
    <col min="13580" max="13580" width="1.08203125" style="215" customWidth="1"/>
    <col min="13581" max="13582" width="8.75" style="215" customWidth="1"/>
    <col min="13583" max="13593" width="9.6640625" style="215" customWidth="1"/>
    <col min="13594" max="13594" width="12.6640625" style="215" customWidth="1"/>
    <col min="13595" max="13824" width="8.6640625" style="215"/>
    <col min="13825" max="13825" width="17" style="215" customWidth="1"/>
    <col min="13826" max="13826" width="9.33203125" style="215" customWidth="1"/>
    <col min="13827" max="13827" width="1.75" style="215" customWidth="1"/>
    <col min="13828" max="13829" width="9.33203125" style="215" customWidth="1"/>
    <col min="13830" max="13830" width="1.08203125" style="215" customWidth="1"/>
    <col min="13831" max="13832" width="8.75" style="215" customWidth="1"/>
    <col min="13833" max="13833" width="2.08203125" style="215" customWidth="1"/>
    <col min="13834" max="13835" width="9.33203125" style="215" customWidth="1"/>
    <col min="13836" max="13836" width="1.08203125" style="215" customWidth="1"/>
    <col min="13837" max="13838" width="8.75" style="215" customWidth="1"/>
    <col min="13839" max="13849" width="9.6640625" style="215" customWidth="1"/>
    <col min="13850" max="13850" width="12.6640625" style="215" customWidth="1"/>
    <col min="13851" max="14080" width="8.6640625" style="215"/>
    <col min="14081" max="14081" width="17" style="215" customWidth="1"/>
    <col min="14082" max="14082" width="9.33203125" style="215" customWidth="1"/>
    <col min="14083" max="14083" width="1.75" style="215" customWidth="1"/>
    <col min="14084" max="14085" width="9.33203125" style="215" customWidth="1"/>
    <col min="14086" max="14086" width="1.08203125" style="215" customWidth="1"/>
    <col min="14087" max="14088" width="8.75" style="215" customWidth="1"/>
    <col min="14089" max="14089" width="2.08203125" style="215" customWidth="1"/>
    <col min="14090" max="14091" width="9.33203125" style="215" customWidth="1"/>
    <col min="14092" max="14092" width="1.08203125" style="215" customWidth="1"/>
    <col min="14093" max="14094" width="8.75" style="215" customWidth="1"/>
    <col min="14095" max="14105" width="9.6640625" style="215" customWidth="1"/>
    <col min="14106" max="14106" width="12.6640625" style="215" customWidth="1"/>
    <col min="14107" max="14336" width="8.6640625" style="215"/>
    <col min="14337" max="14337" width="17" style="215" customWidth="1"/>
    <col min="14338" max="14338" width="9.33203125" style="215" customWidth="1"/>
    <col min="14339" max="14339" width="1.75" style="215" customWidth="1"/>
    <col min="14340" max="14341" width="9.33203125" style="215" customWidth="1"/>
    <col min="14342" max="14342" width="1.08203125" style="215" customWidth="1"/>
    <col min="14343" max="14344" width="8.75" style="215" customWidth="1"/>
    <col min="14345" max="14345" width="2.08203125" style="215" customWidth="1"/>
    <col min="14346" max="14347" width="9.33203125" style="215" customWidth="1"/>
    <col min="14348" max="14348" width="1.08203125" style="215" customWidth="1"/>
    <col min="14349" max="14350" width="8.75" style="215" customWidth="1"/>
    <col min="14351" max="14361" width="9.6640625" style="215" customWidth="1"/>
    <col min="14362" max="14362" width="12.6640625" style="215" customWidth="1"/>
    <col min="14363" max="14592" width="8.6640625" style="215"/>
    <col min="14593" max="14593" width="17" style="215" customWidth="1"/>
    <col min="14594" max="14594" width="9.33203125" style="215" customWidth="1"/>
    <col min="14595" max="14595" width="1.75" style="215" customWidth="1"/>
    <col min="14596" max="14597" width="9.33203125" style="215" customWidth="1"/>
    <col min="14598" max="14598" width="1.08203125" style="215" customWidth="1"/>
    <col min="14599" max="14600" width="8.75" style="215" customWidth="1"/>
    <col min="14601" max="14601" width="2.08203125" style="215" customWidth="1"/>
    <col min="14602" max="14603" width="9.33203125" style="215" customWidth="1"/>
    <col min="14604" max="14604" width="1.08203125" style="215" customWidth="1"/>
    <col min="14605" max="14606" width="8.75" style="215" customWidth="1"/>
    <col min="14607" max="14617" width="9.6640625" style="215" customWidth="1"/>
    <col min="14618" max="14618" width="12.6640625" style="215" customWidth="1"/>
    <col min="14619" max="14848" width="8.6640625" style="215"/>
    <col min="14849" max="14849" width="17" style="215" customWidth="1"/>
    <col min="14850" max="14850" width="9.33203125" style="215" customWidth="1"/>
    <col min="14851" max="14851" width="1.75" style="215" customWidth="1"/>
    <col min="14852" max="14853" width="9.33203125" style="215" customWidth="1"/>
    <col min="14854" max="14854" width="1.08203125" style="215" customWidth="1"/>
    <col min="14855" max="14856" width="8.75" style="215" customWidth="1"/>
    <col min="14857" max="14857" width="2.08203125" style="215" customWidth="1"/>
    <col min="14858" max="14859" width="9.33203125" style="215" customWidth="1"/>
    <col min="14860" max="14860" width="1.08203125" style="215" customWidth="1"/>
    <col min="14861" max="14862" width="8.75" style="215" customWidth="1"/>
    <col min="14863" max="14873" width="9.6640625" style="215" customWidth="1"/>
    <col min="14874" max="14874" width="12.6640625" style="215" customWidth="1"/>
    <col min="14875" max="15104" width="8.6640625" style="215"/>
    <col min="15105" max="15105" width="17" style="215" customWidth="1"/>
    <col min="15106" max="15106" width="9.33203125" style="215" customWidth="1"/>
    <col min="15107" max="15107" width="1.75" style="215" customWidth="1"/>
    <col min="15108" max="15109" width="9.33203125" style="215" customWidth="1"/>
    <col min="15110" max="15110" width="1.08203125" style="215" customWidth="1"/>
    <col min="15111" max="15112" width="8.75" style="215" customWidth="1"/>
    <col min="15113" max="15113" width="2.08203125" style="215" customWidth="1"/>
    <col min="15114" max="15115" width="9.33203125" style="215" customWidth="1"/>
    <col min="15116" max="15116" width="1.08203125" style="215" customWidth="1"/>
    <col min="15117" max="15118" width="8.75" style="215" customWidth="1"/>
    <col min="15119" max="15129" width="9.6640625" style="215" customWidth="1"/>
    <col min="15130" max="15130" width="12.6640625" style="215" customWidth="1"/>
    <col min="15131" max="15360" width="8.6640625" style="215"/>
    <col min="15361" max="15361" width="17" style="215" customWidth="1"/>
    <col min="15362" max="15362" width="9.33203125" style="215" customWidth="1"/>
    <col min="15363" max="15363" width="1.75" style="215" customWidth="1"/>
    <col min="15364" max="15365" width="9.33203125" style="215" customWidth="1"/>
    <col min="15366" max="15366" width="1.08203125" style="215" customWidth="1"/>
    <col min="15367" max="15368" width="8.75" style="215" customWidth="1"/>
    <col min="15369" max="15369" width="2.08203125" style="215" customWidth="1"/>
    <col min="15370" max="15371" width="9.33203125" style="215" customWidth="1"/>
    <col min="15372" max="15372" width="1.08203125" style="215" customWidth="1"/>
    <col min="15373" max="15374" width="8.75" style="215" customWidth="1"/>
    <col min="15375" max="15385" width="9.6640625" style="215" customWidth="1"/>
    <col min="15386" max="15386" width="12.6640625" style="215" customWidth="1"/>
    <col min="15387" max="15616" width="8.6640625" style="215"/>
    <col min="15617" max="15617" width="17" style="215" customWidth="1"/>
    <col min="15618" max="15618" width="9.33203125" style="215" customWidth="1"/>
    <col min="15619" max="15619" width="1.75" style="215" customWidth="1"/>
    <col min="15620" max="15621" width="9.33203125" style="215" customWidth="1"/>
    <col min="15622" max="15622" width="1.08203125" style="215" customWidth="1"/>
    <col min="15623" max="15624" width="8.75" style="215" customWidth="1"/>
    <col min="15625" max="15625" width="2.08203125" style="215" customWidth="1"/>
    <col min="15626" max="15627" width="9.33203125" style="215" customWidth="1"/>
    <col min="15628" max="15628" width="1.08203125" style="215" customWidth="1"/>
    <col min="15629" max="15630" width="8.75" style="215" customWidth="1"/>
    <col min="15631" max="15641" width="9.6640625" style="215" customWidth="1"/>
    <col min="15642" max="15642" width="12.6640625" style="215" customWidth="1"/>
    <col min="15643" max="15872" width="8.6640625" style="215"/>
    <col min="15873" max="15873" width="17" style="215" customWidth="1"/>
    <col min="15874" max="15874" width="9.33203125" style="215" customWidth="1"/>
    <col min="15875" max="15875" width="1.75" style="215" customWidth="1"/>
    <col min="15876" max="15877" width="9.33203125" style="215" customWidth="1"/>
    <col min="15878" max="15878" width="1.08203125" style="215" customWidth="1"/>
    <col min="15879" max="15880" width="8.75" style="215" customWidth="1"/>
    <col min="15881" max="15881" width="2.08203125" style="215" customWidth="1"/>
    <col min="15882" max="15883" width="9.33203125" style="215" customWidth="1"/>
    <col min="15884" max="15884" width="1.08203125" style="215" customWidth="1"/>
    <col min="15885" max="15886" width="8.75" style="215" customWidth="1"/>
    <col min="15887" max="15897" width="9.6640625" style="215" customWidth="1"/>
    <col min="15898" max="15898" width="12.6640625" style="215" customWidth="1"/>
    <col min="15899" max="16128" width="8.6640625" style="215"/>
    <col min="16129" max="16129" width="17" style="215" customWidth="1"/>
    <col min="16130" max="16130" width="9.33203125" style="215" customWidth="1"/>
    <col min="16131" max="16131" width="1.75" style="215" customWidth="1"/>
    <col min="16132" max="16133" width="9.33203125" style="215" customWidth="1"/>
    <col min="16134" max="16134" width="1.08203125" style="215" customWidth="1"/>
    <col min="16135" max="16136" width="8.75" style="215" customWidth="1"/>
    <col min="16137" max="16137" width="2.08203125" style="215" customWidth="1"/>
    <col min="16138" max="16139" width="9.33203125" style="215" customWidth="1"/>
    <col min="16140" max="16140" width="1.08203125" style="215" customWidth="1"/>
    <col min="16141" max="16142" width="8.75" style="215" customWidth="1"/>
    <col min="16143" max="16153" width="9.6640625" style="215" customWidth="1"/>
    <col min="16154" max="16154" width="12.6640625" style="215" customWidth="1"/>
    <col min="16155" max="16384" width="8.6640625" style="215"/>
  </cols>
  <sheetData>
    <row r="1" spans="1:28" x14ac:dyDescent="0.25">
      <c r="A1" s="315" t="s">
        <v>355</v>
      </c>
      <c r="B1" s="208"/>
      <c r="C1" s="272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16"/>
    </row>
    <row r="2" spans="1:28" x14ac:dyDescent="0.25">
      <c r="A2" s="272"/>
      <c r="B2" s="316"/>
      <c r="C2" s="317"/>
      <c r="D2" s="318"/>
      <c r="E2" s="318"/>
      <c r="F2" s="319" t="s">
        <v>359</v>
      </c>
      <c r="G2" s="319"/>
      <c r="H2" s="320"/>
      <c r="I2" s="321"/>
      <c r="J2" s="318"/>
      <c r="K2" s="318"/>
      <c r="L2" s="319" t="s">
        <v>388</v>
      </c>
      <c r="M2" s="319"/>
      <c r="N2" s="320"/>
      <c r="Y2" s="220"/>
    </row>
    <row r="3" spans="1:28" x14ac:dyDescent="0.25">
      <c r="A3" s="272"/>
      <c r="B3" s="322"/>
      <c r="C3" s="272"/>
      <c r="D3" s="323" t="s">
        <v>73</v>
      </c>
      <c r="E3" s="323" t="s">
        <v>74</v>
      </c>
      <c r="F3" s="324"/>
      <c r="G3" s="322" t="s">
        <v>247</v>
      </c>
      <c r="H3" s="322" t="s">
        <v>248</v>
      </c>
      <c r="I3" s="403"/>
      <c r="J3" s="323" t="s">
        <v>73</v>
      </c>
      <c r="K3" s="323" t="s">
        <v>74</v>
      </c>
      <c r="L3" s="324"/>
      <c r="M3" s="322" t="s">
        <v>247</v>
      </c>
      <c r="N3" s="322" t="s">
        <v>248</v>
      </c>
      <c r="Y3" s="220"/>
    </row>
    <row r="4" spans="1:28" s="331" customFormat="1" x14ac:dyDescent="0.25">
      <c r="A4" s="325" t="s">
        <v>108</v>
      </c>
      <c r="B4" s="326" t="s">
        <v>329</v>
      </c>
      <c r="C4" s="327"/>
      <c r="D4" s="328">
        <v>2021</v>
      </c>
      <c r="E4" s="328">
        <v>2021</v>
      </c>
      <c r="F4" s="328"/>
      <c r="G4" s="320" t="s">
        <v>249</v>
      </c>
      <c r="H4" s="320" t="s">
        <v>250</v>
      </c>
      <c r="I4" s="327"/>
      <c r="J4" s="328">
        <v>2021</v>
      </c>
      <c r="K4" s="328">
        <v>2021</v>
      </c>
      <c r="L4" s="328"/>
      <c r="M4" s="320" t="s">
        <v>249</v>
      </c>
      <c r="N4" s="320" t="s">
        <v>250</v>
      </c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30"/>
    </row>
    <row r="5" spans="1:28" ht="14.25" customHeight="1" x14ac:dyDescent="0.25">
      <c r="A5" s="332"/>
      <c r="C5" s="331"/>
      <c r="F5" s="333"/>
      <c r="H5" s="333" t="s">
        <v>251</v>
      </c>
      <c r="L5" s="333"/>
      <c r="Y5" s="216"/>
    </row>
    <row r="6" spans="1:28" ht="7.5" customHeight="1" x14ac:dyDescent="0.25">
      <c r="A6" s="334"/>
      <c r="C6" s="335"/>
      <c r="G6" s="335"/>
      <c r="H6" s="335"/>
      <c r="I6" s="335"/>
      <c r="M6" s="335"/>
      <c r="N6" s="335"/>
      <c r="Y6" s="216"/>
      <c r="AA6" s="232"/>
      <c r="AB6" s="232"/>
    </row>
    <row r="7" spans="1:28" ht="12.75" customHeight="1" x14ac:dyDescent="0.25">
      <c r="A7" s="334" t="s">
        <v>252</v>
      </c>
      <c r="B7" s="460">
        <v>229</v>
      </c>
      <c r="D7" s="462">
        <v>377</v>
      </c>
      <c r="E7" s="462">
        <v>377</v>
      </c>
      <c r="G7" s="335">
        <f>E7-D7</f>
        <v>0</v>
      </c>
      <c r="H7" s="335">
        <f>E7-B7</f>
        <v>148</v>
      </c>
      <c r="I7" s="335"/>
      <c r="J7" s="462">
        <v>343</v>
      </c>
      <c r="K7" s="462">
        <v>343</v>
      </c>
      <c r="M7" s="335">
        <f t="shared" ref="M7:M65" si="0">K7-J7</f>
        <v>0</v>
      </c>
      <c r="N7" s="335">
        <f>K7-E7</f>
        <v>-34</v>
      </c>
      <c r="O7" s="520"/>
      <c r="Y7" s="216"/>
      <c r="AA7" s="232"/>
      <c r="AB7" s="232"/>
    </row>
    <row r="8" spans="1:28" x14ac:dyDescent="0.25">
      <c r="A8" s="334" t="s">
        <v>253</v>
      </c>
      <c r="B8" s="460">
        <v>774</v>
      </c>
      <c r="D8" s="462">
        <v>795</v>
      </c>
      <c r="E8" s="462">
        <v>795</v>
      </c>
      <c r="G8" s="335">
        <f t="shared" ref="G8:G67" si="1">E8-D8</f>
        <v>0</v>
      </c>
      <c r="H8" s="335">
        <f t="shared" ref="H8:H67" si="2">E8-B8</f>
        <v>21</v>
      </c>
      <c r="I8" s="335"/>
      <c r="J8" s="462">
        <v>775</v>
      </c>
      <c r="K8" s="462">
        <v>775</v>
      </c>
      <c r="M8" s="335">
        <f t="shared" si="0"/>
        <v>0</v>
      </c>
      <c r="N8" s="335">
        <f t="shared" ref="N8:N67" si="3">K8-E8</f>
        <v>-20</v>
      </c>
      <c r="O8" s="520"/>
      <c r="Y8" s="216"/>
      <c r="AA8" s="232"/>
      <c r="AB8" s="232"/>
    </row>
    <row r="9" spans="1:28" x14ac:dyDescent="0.25">
      <c r="A9" s="334" t="s">
        <v>254</v>
      </c>
      <c r="B9" s="460">
        <v>48</v>
      </c>
      <c r="D9" s="462">
        <v>38</v>
      </c>
      <c r="E9" s="462">
        <v>38</v>
      </c>
      <c r="G9" s="335">
        <f t="shared" si="1"/>
        <v>0</v>
      </c>
      <c r="H9" s="335">
        <f t="shared" si="2"/>
        <v>-10</v>
      </c>
      <c r="I9" s="335"/>
      <c r="J9" s="462">
        <v>380</v>
      </c>
      <c r="K9" s="462">
        <v>380</v>
      </c>
      <c r="M9" s="335">
        <f t="shared" si="0"/>
        <v>0</v>
      </c>
      <c r="N9" s="335">
        <f t="shared" si="3"/>
        <v>342</v>
      </c>
      <c r="O9" s="520"/>
      <c r="Y9" s="216"/>
      <c r="AA9" s="232"/>
      <c r="AB9" s="232"/>
    </row>
    <row r="10" spans="1:28" x14ac:dyDescent="0.25">
      <c r="A10" s="334" t="s">
        <v>255</v>
      </c>
      <c r="B10" s="461">
        <v>34909</v>
      </c>
      <c r="D10" s="336">
        <v>35850</v>
      </c>
      <c r="E10" s="336">
        <v>35850</v>
      </c>
      <c r="G10" s="335">
        <f t="shared" si="1"/>
        <v>0</v>
      </c>
      <c r="H10" s="335">
        <f t="shared" si="2"/>
        <v>941</v>
      </c>
      <c r="I10" s="335"/>
      <c r="J10" s="336">
        <v>34800</v>
      </c>
      <c r="K10" s="336">
        <v>34800</v>
      </c>
      <c r="M10" s="335">
        <f t="shared" si="0"/>
        <v>0</v>
      </c>
      <c r="N10" s="335">
        <f t="shared" si="3"/>
        <v>-1050</v>
      </c>
      <c r="O10" s="520"/>
      <c r="Y10" s="216"/>
      <c r="AA10" s="232"/>
      <c r="AB10" s="232"/>
    </row>
    <row r="11" spans="1:28" x14ac:dyDescent="0.25">
      <c r="A11" s="334" t="s">
        <v>400</v>
      </c>
      <c r="B11" s="460">
        <v>414</v>
      </c>
      <c r="D11" s="462">
        <v>386</v>
      </c>
      <c r="E11" s="462">
        <v>386</v>
      </c>
      <c r="G11" s="335">
        <f t="shared" si="1"/>
        <v>0</v>
      </c>
      <c r="H11" s="335">
        <f t="shared" si="2"/>
        <v>-28</v>
      </c>
      <c r="I11" s="335"/>
      <c r="J11" s="462">
        <v>390</v>
      </c>
      <c r="K11" s="462">
        <v>390</v>
      </c>
      <c r="M11" s="335">
        <f t="shared" si="0"/>
        <v>0</v>
      </c>
      <c r="N11" s="335">
        <f t="shared" si="3"/>
        <v>4</v>
      </c>
      <c r="O11" s="520"/>
      <c r="Y11" s="216"/>
      <c r="AA11" s="232"/>
      <c r="AB11" s="232"/>
    </row>
    <row r="12" spans="1:28" x14ac:dyDescent="0.25">
      <c r="A12" s="334" t="s">
        <v>256</v>
      </c>
      <c r="B12" s="461">
        <v>7140</v>
      </c>
      <c r="D12" s="336">
        <v>7602</v>
      </c>
      <c r="E12" s="336">
        <v>7602</v>
      </c>
      <c r="G12" s="335">
        <f t="shared" si="1"/>
        <v>0</v>
      </c>
      <c r="H12" s="335">
        <f t="shared" si="2"/>
        <v>462</v>
      </c>
      <c r="I12" s="335"/>
      <c r="J12" s="336">
        <v>7480</v>
      </c>
      <c r="K12" s="336">
        <v>7480</v>
      </c>
      <c r="M12" s="335">
        <f t="shared" si="0"/>
        <v>0</v>
      </c>
      <c r="N12" s="335">
        <f t="shared" si="3"/>
        <v>-122</v>
      </c>
      <c r="O12" s="520"/>
      <c r="Y12" s="216"/>
      <c r="AA12" s="232"/>
      <c r="AB12" s="232"/>
    </row>
    <row r="13" spans="1:28" x14ac:dyDescent="0.25">
      <c r="A13" s="334" t="s">
        <v>257</v>
      </c>
      <c r="B13" s="461">
        <v>13200</v>
      </c>
      <c r="D13" s="336">
        <v>12700</v>
      </c>
      <c r="E13" s="336">
        <v>12700</v>
      </c>
      <c r="G13" s="335">
        <f t="shared" si="1"/>
        <v>0</v>
      </c>
      <c r="H13" s="335">
        <f t="shared" si="2"/>
        <v>-500</v>
      </c>
      <c r="I13" s="335"/>
      <c r="J13" s="336">
        <v>13000</v>
      </c>
      <c r="K13" s="336">
        <v>12600</v>
      </c>
      <c r="M13" s="335">
        <f t="shared" si="0"/>
        <v>-400</v>
      </c>
      <c r="N13" s="335">
        <f t="shared" si="3"/>
        <v>-100</v>
      </c>
      <c r="O13" s="520"/>
      <c r="Y13" s="216"/>
      <c r="AA13" s="232"/>
      <c r="AB13" s="232"/>
    </row>
    <row r="14" spans="1:28" x14ac:dyDescent="0.25">
      <c r="A14" s="334" t="s">
        <v>258</v>
      </c>
      <c r="B14" s="461">
        <v>5742</v>
      </c>
      <c r="D14" s="336">
        <v>5740</v>
      </c>
      <c r="E14" s="336">
        <v>5740</v>
      </c>
      <c r="G14" s="335">
        <f t="shared" si="1"/>
        <v>0</v>
      </c>
      <c r="H14" s="335">
        <f t="shared" si="2"/>
        <v>-2</v>
      </c>
      <c r="I14" s="335"/>
      <c r="J14" s="336">
        <v>5840</v>
      </c>
      <c r="K14" s="336">
        <v>5840</v>
      </c>
      <c r="M14" s="335">
        <f t="shared" si="0"/>
        <v>0</v>
      </c>
      <c r="N14" s="335">
        <f t="shared" si="3"/>
        <v>100</v>
      </c>
      <c r="O14" s="520"/>
      <c r="Y14" s="216"/>
      <c r="AA14" s="232"/>
      <c r="AB14" s="232"/>
    </row>
    <row r="15" spans="1:28" x14ac:dyDescent="0.25">
      <c r="A15" s="334" t="s">
        <v>259</v>
      </c>
      <c r="B15" s="461">
        <v>148490</v>
      </c>
      <c r="D15" s="336">
        <v>146730</v>
      </c>
      <c r="E15" s="336">
        <v>146730</v>
      </c>
      <c r="G15" s="335">
        <f t="shared" si="1"/>
        <v>0</v>
      </c>
      <c r="H15" s="335">
        <f t="shared" si="2"/>
        <v>-1760</v>
      </c>
      <c r="I15" s="335"/>
      <c r="J15" s="336">
        <v>148300</v>
      </c>
      <c r="K15" s="336">
        <v>148300</v>
      </c>
      <c r="M15" s="335">
        <f t="shared" si="0"/>
        <v>0</v>
      </c>
      <c r="N15" s="335">
        <f t="shared" si="3"/>
        <v>1570</v>
      </c>
      <c r="O15" s="520"/>
      <c r="Y15" s="216"/>
      <c r="AA15" s="232"/>
      <c r="AB15" s="232"/>
    </row>
    <row r="16" spans="1:28" x14ac:dyDescent="0.25">
      <c r="A16" s="334" t="s">
        <v>260</v>
      </c>
      <c r="B16" s="461">
        <v>1691</v>
      </c>
      <c r="D16" s="336">
        <v>1750</v>
      </c>
      <c r="E16" s="336">
        <v>1750</v>
      </c>
      <c r="G16" s="335">
        <f t="shared" si="1"/>
        <v>0</v>
      </c>
      <c r="H16" s="335">
        <f t="shared" si="2"/>
        <v>59</v>
      </c>
      <c r="I16" s="335"/>
      <c r="J16" s="336">
        <v>1900</v>
      </c>
      <c r="K16" s="336">
        <v>2010</v>
      </c>
      <c r="M16" s="335">
        <f t="shared" si="0"/>
        <v>110</v>
      </c>
      <c r="N16" s="335">
        <f t="shared" si="3"/>
        <v>260</v>
      </c>
      <c r="O16" s="520"/>
      <c r="Y16" s="216"/>
      <c r="AA16" s="232"/>
      <c r="AB16" s="232"/>
    </row>
    <row r="17" spans="1:28" x14ac:dyDescent="0.25">
      <c r="A17" s="334" t="s">
        <v>419</v>
      </c>
      <c r="B17" s="460">
        <v>101</v>
      </c>
      <c r="D17" s="336">
        <v>101</v>
      </c>
      <c r="E17" s="462">
        <v>101</v>
      </c>
      <c r="G17" s="335">
        <f t="shared" si="1"/>
        <v>0</v>
      </c>
      <c r="H17" s="335">
        <f t="shared" si="2"/>
        <v>0</v>
      </c>
      <c r="I17" s="335"/>
      <c r="J17" s="462">
        <v>95</v>
      </c>
      <c r="K17" s="462">
        <v>95</v>
      </c>
      <c r="M17" s="335">
        <f t="shared" si="0"/>
        <v>0</v>
      </c>
      <c r="N17" s="335">
        <f t="shared" si="3"/>
        <v>-6</v>
      </c>
      <c r="O17" s="520"/>
      <c r="Y17" s="216"/>
      <c r="AA17" s="232"/>
      <c r="AB17" s="232"/>
    </row>
    <row r="18" spans="1:28" x14ac:dyDescent="0.25">
      <c r="A18" s="334" t="s">
        <v>261</v>
      </c>
      <c r="B18" s="461">
        <v>1304</v>
      </c>
      <c r="D18" s="336">
        <v>1250</v>
      </c>
      <c r="E18" s="336">
        <v>1250</v>
      </c>
      <c r="G18" s="335">
        <f t="shared" si="1"/>
        <v>0</v>
      </c>
      <c r="H18" s="335">
        <f t="shared" si="2"/>
        <v>-54</v>
      </c>
      <c r="I18" s="335"/>
      <c r="J18" s="336">
        <v>1400</v>
      </c>
      <c r="K18" s="336">
        <v>1400</v>
      </c>
      <c r="M18" s="335">
        <f t="shared" si="0"/>
        <v>0</v>
      </c>
      <c r="N18" s="335">
        <f t="shared" si="3"/>
        <v>150</v>
      </c>
      <c r="O18" s="520"/>
      <c r="Y18" s="216"/>
      <c r="AA18" s="232"/>
      <c r="AB18" s="232"/>
    </row>
    <row r="19" spans="1:28" x14ac:dyDescent="0.25">
      <c r="A19" s="334" t="s">
        <v>262</v>
      </c>
      <c r="B19" s="460">
        <v>299</v>
      </c>
      <c r="D19" s="462">
        <v>247</v>
      </c>
      <c r="E19" s="462">
        <v>247</v>
      </c>
      <c r="G19" s="335">
        <f t="shared" si="1"/>
        <v>0</v>
      </c>
      <c r="H19" s="335">
        <f t="shared" si="2"/>
        <v>-52</v>
      </c>
      <c r="I19" s="335"/>
      <c r="J19" s="462">
        <v>255</v>
      </c>
      <c r="K19" s="462">
        <v>240</v>
      </c>
      <c r="M19" s="335">
        <f t="shared" si="0"/>
        <v>-15</v>
      </c>
      <c r="N19" s="335">
        <f t="shared" si="3"/>
        <v>-7</v>
      </c>
      <c r="O19" s="520"/>
      <c r="Y19" s="216"/>
      <c r="AA19" s="232"/>
      <c r="AB19" s="232"/>
    </row>
    <row r="20" spans="1:28" x14ac:dyDescent="0.25">
      <c r="A20" s="334" t="s">
        <v>263</v>
      </c>
      <c r="B20" s="460">
        <v>643</v>
      </c>
      <c r="D20" s="462">
        <v>643</v>
      </c>
      <c r="E20" s="462">
        <v>643</v>
      </c>
      <c r="G20" s="335">
        <f t="shared" si="1"/>
        <v>0</v>
      </c>
      <c r="H20" s="335">
        <f t="shared" si="2"/>
        <v>0</v>
      </c>
      <c r="I20" s="335"/>
      <c r="J20" s="462">
        <v>620</v>
      </c>
      <c r="K20" s="462">
        <v>620</v>
      </c>
      <c r="M20" s="335">
        <f t="shared" si="0"/>
        <v>0</v>
      </c>
      <c r="N20" s="335">
        <f t="shared" si="3"/>
        <v>-23</v>
      </c>
      <c r="O20" s="520"/>
      <c r="Y20" s="216"/>
      <c r="AA20" s="232"/>
      <c r="AB20" s="232"/>
    </row>
    <row r="21" spans="1:28" x14ac:dyDescent="0.25">
      <c r="A21" s="334" t="s">
        <v>424</v>
      </c>
      <c r="B21" s="460">
        <v>925</v>
      </c>
      <c r="D21" s="462">
        <v>870</v>
      </c>
      <c r="E21" s="462">
        <v>930</v>
      </c>
      <c r="G21" s="335">
        <f t="shared" si="1"/>
        <v>60</v>
      </c>
      <c r="H21" s="335">
        <f t="shared" si="2"/>
        <v>5</v>
      </c>
      <c r="I21" s="335"/>
      <c r="J21" s="462">
        <v>873</v>
      </c>
      <c r="K21" s="336">
        <v>1023</v>
      </c>
      <c r="M21" s="335">
        <f t="shared" si="0"/>
        <v>150</v>
      </c>
      <c r="N21" s="335">
        <f t="shared" si="3"/>
        <v>93</v>
      </c>
      <c r="O21" s="520"/>
      <c r="Y21" s="216"/>
      <c r="AA21" s="232"/>
      <c r="AB21" s="232"/>
    </row>
    <row r="22" spans="1:28" x14ac:dyDescent="0.25">
      <c r="A22" s="334" t="s">
        <v>264</v>
      </c>
      <c r="B22" s="461">
        <v>2800</v>
      </c>
      <c r="D22" s="336">
        <v>4300</v>
      </c>
      <c r="E22" s="336">
        <v>4300</v>
      </c>
      <c r="G22" s="335">
        <f t="shared" si="1"/>
        <v>0</v>
      </c>
      <c r="H22" s="335">
        <f t="shared" si="2"/>
        <v>1500</v>
      </c>
      <c r="I22" s="335"/>
      <c r="J22" s="336">
        <v>4000</v>
      </c>
      <c r="K22" s="336">
        <v>4000</v>
      </c>
      <c r="M22" s="335">
        <f t="shared" si="0"/>
        <v>0</v>
      </c>
      <c r="N22" s="335">
        <f t="shared" si="3"/>
        <v>-300</v>
      </c>
      <c r="O22" s="520"/>
      <c r="Y22" s="216"/>
      <c r="AA22" s="232"/>
      <c r="AB22" s="232"/>
    </row>
    <row r="23" spans="1:28" x14ac:dyDescent="0.25">
      <c r="A23" s="334" t="s">
        <v>265</v>
      </c>
      <c r="B23" s="461">
        <v>1965</v>
      </c>
      <c r="D23" s="336">
        <v>1972</v>
      </c>
      <c r="E23" s="336">
        <v>1985</v>
      </c>
      <c r="G23" s="335">
        <f t="shared" si="1"/>
        <v>13</v>
      </c>
      <c r="H23" s="335">
        <f t="shared" si="2"/>
        <v>20</v>
      </c>
      <c r="I23" s="335"/>
      <c r="J23" s="336">
        <v>1975</v>
      </c>
      <c r="K23" s="336">
        <v>1962</v>
      </c>
      <c r="M23" s="335">
        <f t="shared" si="0"/>
        <v>-13</v>
      </c>
      <c r="N23" s="335">
        <f t="shared" si="3"/>
        <v>-23</v>
      </c>
      <c r="O23" s="520"/>
      <c r="Y23" s="216"/>
      <c r="AA23" s="232"/>
      <c r="AB23" s="232"/>
    </row>
    <row r="24" spans="1:28" x14ac:dyDescent="0.25">
      <c r="A24" s="334" t="s">
        <v>266</v>
      </c>
      <c r="B24" s="460">
        <v>531</v>
      </c>
      <c r="D24" s="462">
        <v>540</v>
      </c>
      <c r="E24" s="462">
        <v>540</v>
      </c>
      <c r="G24" s="335">
        <f t="shared" si="1"/>
        <v>0</v>
      </c>
      <c r="H24" s="335">
        <f t="shared" si="2"/>
        <v>9</v>
      </c>
      <c r="I24" s="335"/>
      <c r="J24" s="462">
        <v>575</v>
      </c>
      <c r="K24" s="462">
        <v>575</v>
      </c>
      <c r="M24" s="335">
        <f t="shared" si="0"/>
        <v>0</v>
      </c>
      <c r="N24" s="335">
        <f t="shared" si="3"/>
        <v>35</v>
      </c>
      <c r="O24" s="520"/>
      <c r="Y24" s="216"/>
      <c r="AA24" s="232"/>
      <c r="AB24" s="232"/>
    </row>
    <row r="25" spans="1:28" x14ac:dyDescent="0.25">
      <c r="A25" s="334" t="s">
        <v>267</v>
      </c>
      <c r="B25" s="461">
        <v>1544</v>
      </c>
      <c r="D25" s="336">
        <v>1715</v>
      </c>
      <c r="E25" s="336">
        <v>1715</v>
      </c>
      <c r="G25" s="335">
        <f t="shared" si="1"/>
        <v>0</v>
      </c>
      <c r="H25" s="335">
        <f t="shared" si="2"/>
        <v>171</v>
      </c>
      <c r="I25" s="335"/>
      <c r="J25" s="336">
        <v>1716</v>
      </c>
      <c r="K25" s="336">
        <v>1716</v>
      </c>
      <c r="M25" s="335">
        <f t="shared" si="0"/>
        <v>0</v>
      </c>
      <c r="N25" s="335">
        <f t="shared" si="3"/>
        <v>1</v>
      </c>
      <c r="O25" s="520"/>
      <c r="Y25" s="216"/>
      <c r="AA25" s="232"/>
      <c r="AB25" s="232"/>
    </row>
    <row r="26" spans="1:28" x14ac:dyDescent="0.25">
      <c r="A26" s="334" t="s">
        <v>268</v>
      </c>
      <c r="B26" s="460">
        <v>627</v>
      </c>
      <c r="D26" s="462">
        <v>683</v>
      </c>
      <c r="E26" s="462">
        <v>683</v>
      </c>
      <c r="G26" s="335">
        <f t="shared" si="1"/>
        <v>0</v>
      </c>
      <c r="H26" s="335">
        <f t="shared" si="2"/>
        <v>56</v>
      </c>
      <c r="I26" s="335"/>
      <c r="J26" s="462">
        <v>688</v>
      </c>
      <c r="K26" s="462">
        <v>688</v>
      </c>
      <c r="M26" s="335">
        <f t="shared" si="0"/>
        <v>0</v>
      </c>
      <c r="N26" s="335">
        <f t="shared" si="3"/>
        <v>5</v>
      </c>
      <c r="O26" s="520"/>
      <c r="Y26" s="216"/>
      <c r="AA26" s="232"/>
      <c r="AB26" s="232"/>
    </row>
    <row r="27" spans="1:28" x14ac:dyDescent="0.25">
      <c r="A27" s="334" t="s">
        <v>269</v>
      </c>
      <c r="B27" s="461">
        <v>116480</v>
      </c>
      <c r="D27" s="336">
        <v>118870</v>
      </c>
      <c r="E27" s="336">
        <v>118870</v>
      </c>
      <c r="G27" s="335">
        <f t="shared" si="1"/>
        <v>0</v>
      </c>
      <c r="H27" s="335">
        <f t="shared" si="2"/>
        <v>2390</v>
      </c>
      <c r="I27" s="335"/>
      <c r="J27" s="336">
        <v>121000</v>
      </c>
      <c r="K27" s="336">
        <v>121000</v>
      </c>
      <c r="M27" s="335">
        <f t="shared" si="0"/>
        <v>0</v>
      </c>
      <c r="N27" s="335">
        <f t="shared" si="3"/>
        <v>2130</v>
      </c>
      <c r="O27" s="520"/>
      <c r="Y27" s="216"/>
      <c r="AA27" s="232"/>
      <c r="AB27" s="232"/>
    </row>
    <row r="28" spans="1:28" x14ac:dyDescent="0.25">
      <c r="A28" s="334" t="s">
        <v>270</v>
      </c>
      <c r="B28" s="461">
        <v>34200</v>
      </c>
      <c r="D28" s="336">
        <v>34700</v>
      </c>
      <c r="E28" s="336">
        <v>34700</v>
      </c>
      <c r="G28" s="335">
        <f t="shared" si="1"/>
        <v>0</v>
      </c>
      <c r="H28" s="335">
        <f t="shared" si="2"/>
        <v>500</v>
      </c>
      <c r="I28" s="335"/>
      <c r="J28" s="336">
        <v>35500</v>
      </c>
      <c r="K28" s="336">
        <v>35200</v>
      </c>
      <c r="M28" s="335">
        <f t="shared" si="0"/>
        <v>-300</v>
      </c>
      <c r="N28" s="335">
        <f t="shared" si="3"/>
        <v>500</v>
      </c>
      <c r="O28" s="520"/>
      <c r="Y28" s="216"/>
      <c r="AA28" s="232"/>
      <c r="AB28" s="232"/>
    </row>
    <row r="29" spans="1:28" x14ac:dyDescent="0.25">
      <c r="A29" s="334" t="s">
        <v>271</v>
      </c>
      <c r="B29" s="461">
        <v>1993</v>
      </c>
      <c r="D29" s="336">
        <v>1993</v>
      </c>
      <c r="E29" s="336">
        <v>1993</v>
      </c>
      <c r="G29" s="335">
        <f t="shared" si="1"/>
        <v>0</v>
      </c>
      <c r="H29" s="335">
        <f t="shared" si="2"/>
        <v>0</v>
      </c>
      <c r="I29" s="335"/>
      <c r="J29" s="336">
        <v>2000</v>
      </c>
      <c r="K29" s="336">
        <v>2000</v>
      </c>
      <c r="M29" s="335">
        <f t="shared" si="0"/>
        <v>0</v>
      </c>
      <c r="N29" s="335">
        <f t="shared" si="3"/>
        <v>7</v>
      </c>
      <c r="O29" s="520"/>
      <c r="Y29" s="216"/>
      <c r="AA29" s="232"/>
      <c r="AB29" s="232"/>
    </row>
    <row r="30" spans="1:28" x14ac:dyDescent="0.25">
      <c r="A30" s="334" t="s">
        <v>272</v>
      </c>
      <c r="B30" s="460">
        <v>13</v>
      </c>
      <c r="D30" s="462">
        <v>347</v>
      </c>
      <c r="E30" s="462">
        <v>347</v>
      </c>
      <c r="G30" s="335">
        <f t="shared" si="1"/>
        <v>0</v>
      </c>
      <c r="H30" s="335">
        <f t="shared" si="2"/>
        <v>334</v>
      </c>
      <c r="I30" s="335"/>
      <c r="J30" s="462">
        <v>266</v>
      </c>
      <c r="K30" s="462">
        <v>305</v>
      </c>
      <c r="M30" s="335">
        <f t="shared" si="0"/>
        <v>39</v>
      </c>
      <c r="N30" s="335">
        <f t="shared" si="3"/>
        <v>-42</v>
      </c>
      <c r="O30" s="520"/>
      <c r="Y30" s="216"/>
      <c r="AA30" s="232"/>
      <c r="AB30" s="232"/>
    </row>
    <row r="31" spans="1:28" x14ac:dyDescent="0.25">
      <c r="A31" s="334" t="s">
        <v>273</v>
      </c>
      <c r="B31" s="461">
        <v>7657</v>
      </c>
      <c r="D31" s="336">
        <v>7611</v>
      </c>
      <c r="E31" s="336">
        <v>7611</v>
      </c>
      <c r="G31" s="335">
        <f t="shared" si="1"/>
        <v>0</v>
      </c>
      <c r="H31" s="335">
        <f t="shared" si="2"/>
        <v>-46</v>
      </c>
      <c r="I31" s="335"/>
      <c r="J31" s="336">
        <v>7620</v>
      </c>
      <c r="K31" s="336">
        <v>7567</v>
      </c>
      <c r="M31" s="335">
        <f t="shared" si="0"/>
        <v>-53</v>
      </c>
      <c r="N31" s="335">
        <f t="shared" si="3"/>
        <v>-44</v>
      </c>
      <c r="O31" s="520"/>
      <c r="Y31" s="216"/>
      <c r="AA31" s="232"/>
      <c r="AB31" s="232"/>
    </row>
    <row r="32" spans="1:28" x14ac:dyDescent="0.25">
      <c r="A32" s="334" t="s">
        <v>310</v>
      </c>
      <c r="B32" s="460">
        <v>314</v>
      </c>
      <c r="D32" s="462">
        <v>365</v>
      </c>
      <c r="E32" s="462">
        <v>365</v>
      </c>
      <c r="G32" s="335">
        <f t="shared" si="1"/>
        <v>0</v>
      </c>
      <c r="H32" s="335">
        <f t="shared" si="2"/>
        <v>51</v>
      </c>
      <c r="I32" s="335"/>
      <c r="J32" s="462">
        <v>362</v>
      </c>
      <c r="K32" s="462">
        <v>362</v>
      </c>
      <c r="M32" s="335">
        <f t="shared" si="0"/>
        <v>0</v>
      </c>
      <c r="N32" s="335">
        <f t="shared" si="3"/>
        <v>-3</v>
      </c>
      <c r="O32" s="520"/>
      <c r="Y32" s="216"/>
      <c r="AA32" s="232"/>
      <c r="AB32" s="232"/>
    </row>
    <row r="33" spans="1:28" x14ac:dyDescent="0.25">
      <c r="A33" s="334" t="s">
        <v>274</v>
      </c>
      <c r="B33" s="461">
        <v>1360</v>
      </c>
      <c r="D33" s="336">
        <v>1360</v>
      </c>
      <c r="E33" s="336">
        <v>1360</v>
      </c>
      <c r="G33" s="335">
        <f t="shared" si="1"/>
        <v>0</v>
      </c>
      <c r="H33" s="335">
        <f t="shared" si="2"/>
        <v>0</v>
      </c>
      <c r="I33" s="335"/>
      <c r="J33" s="336">
        <v>1360</v>
      </c>
      <c r="K33" s="336">
        <v>1360</v>
      </c>
      <c r="M33" s="335">
        <f t="shared" si="0"/>
        <v>0</v>
      </c>
      <c r="N33" s="335">
        <f t="shared" si="3"/>
        <v>0</v>
      </c>
      <c r="O33" s="520"/>
      <c r="Y33" s="216"/>
      <c r="AA33" s="232"/>
      <c r="AB33" s="232"/>
    </row>
    <row r="34" spans="1:28" x14ac:dyDescent="0.25">
      <c r="A34" s="334" t="s">
        <v>275</v>
      </c>
      <c r="B34" s="461">
        <v>3868</v>
      </c>
      <c r="D34" s="336">
        <v>3744</v>
      </c>
      <c r="E34" s="336">
        <v>3744</v>
      </c>
      <c r="G34" s="335">
        <f t="shared" si="1"/>
        <v>0</v>
      </c>
      <c r="H34" s="335">
        <f t="shared" si="2"/>
        <v>-124</v>
      </c>
      <c r="I34" s="335"/>
      <c r="J34" s="336">
        <v>3507</v>
      </c>
      <c r="K34" s="336">
        <v>3507</v>
      </c>
      <c r="M34" s="335">
        <f t="shared" si="0"/>
        <v>0</v>
      </c>
      <c r="N34" s="335">
        <f t="shared" si="3"/>
        <v>-237</v>
      </c>
      <c r="O34" s="520"/>
      <c r="Y34" s="216"/>
      <c r="AA34" s="232"/>
      <c r="AB34" s="232"/>
    </row>
    <row r="35" spans="1:28" x14ac:dyDescent="0.25">
      <c r="A35" s="334" t="s">
        <v>276</v>
      </c>
      <c r="B35" s="461">
        <v>1680</v>
      </c>
      <c r="D35" s="336">
        <v>1950</v>
      </c>
      <c r="E35" s="336">
        <v>1950</v>
      </c>
      <c r="G35" s="335">
        <f t="shared" si="1"/>
        <v>0</v>
      </c>
      <c r="H35" s="335">
        <f t="shared" si="2"/>
        <v>270</v>
      </c>
      <c r="I35" s="335"/>
      <c r="J35" s="336">
        <v>2000</v>
      </c>
      <c r="K35" s="336">
        <v>2000</v>
      </c>
      <c r="M35" s="335">
        <f t="shared" si="0"/>
        <v>0</v>
      </c>
      <c r="N35" s="335">
        <f t="shared" si="3"/>
        <v>50</v>
      </c>
      <c r="O35" s="520"/>
      <c r="Y35" s="216"/>
      <c r="AA35" s="232"/>
      <c r="AB35" s="232"/>
    </row>
    <row r="36" spans="1:28" s="230" customFormat="1" x14ac:dyDescent="0.25">
      <c r="A36" s="334" t="s">
        <v>278</v>
      </c>
      <c r="B36" s="461">
        <v>2579</v>
      </c>
      <c r="D36" s="336">
        <v>2688</v>
      </c>
      <c r="E36" s="336">
        <v>2688</v>
      </c>
      <c r="G36" s="335">
        <f t="shared" si="1"/>
        <v>0</v>
      </c>
      <c r="H36" s="335">
        <f t="shared" si="2"/>
        <v>109</v>
      </c>
      <c r="I36" s="337"/>
      <c r="J36" s="336">
        <v>2560</v>
      </c>
      <c r="K36" s="336">
        <v>2560</v>
      </c>
      <c r="M36" s="335">
        <f t="shared" si="0"/>
        <v>0</v>
      </c>
      <c r="N36" s="335">
        <f t="shared" si="3"/>
        <v>-128</v>
      </c>
      <c r="O36" s="521"/>
      <c r="Y36" s="225"/>
      <c r="AA36" s="259"/>
      <c r="AB36" s="259"/>
    </row>
    <row r="37" spans="1:28" x14ac:dyDescent="0.25">
      <c r="A37" s="334" t="s">
        <v>279</v>
      </c>
      <c r="B37" s="461">
        <v>1825</v>
      </c>
      <c r="D37" s="336">
        <v>1825</v>
      </c>
      <c r="E37" s="336">
        <v>1825</v>
      </c>
      <c r="G37" s="335">
        <f t="shared" si="1"/>
        <v>0</v>
      </c>
      <c r="H37" s="335">
        <f t="shared" si="2"/>
        <v>0</v>
      </c>
      <c r="I37" s="335"/>
      <c r="J37" s="336">
        <v>1825</v>
      </c>
      <c r="K37" s="336">
        <v>1825</v>
      </c>
      <c r="M37" s="335">
        <f t="shared" si="0"/>
        <v>0</v>
      </c>
      <c r="N37" s="335">
        <f t="shared" si="3"/>
        <v>0</v>
      </c>
      <c r="O37" s="520"/>
      <c r="Y37" s="216"/>
      <c r="AA37" s="232"/>
      <c r="AB37" s="232"/>
    </row>
    <row r="38" spans="1:28" s="230" customFormat="1" x14ac:dyDescent="0.25">
      <c r="A38" s="334" t="s">
        <v>280</v>
      </c>
      <c r="B38" s="461">
        <v>2059</v>
      </c>
      <c r="D38" s="336">
        <v>2080</v>
      </c>
      <c r="E38" s="336">
        <v>2080</v>
      </c>
      <c r="G38" s="335">
        <f t="shared" si="1"/>
        <v>0</v>
      </c>
      <c r="H38" s="335">
        <f t="shared" si="2"/>
        <v>21</v>
      </c>
      <c r="I38" s="337"/>
      <c r="J38" s="336">
        <v>2150</v>
      </c>
      <c r="K38" s="336">
        <v>2150</v>
      </c>
      <c r="M38" s="335">
        <f t="shared" si="0"/>
        <v>0</v>
      </c>
      <c r="N38" s="335">
        <f t="shared" si="3"/>
        <v>70</v>
      </c>
      <c r="O38" s="521"/>
      <c r="Y38" s="225"/>
      <c r="AA38" s="259"/>
      <c r="AB38" s="259"/>
    </row>
    <row r="39" spans="1:28" s="230" customFormat="1" x14ac:dyDescent="0.25">
      <c r="A39" s="334" t="s">
        <v>281</v>
      </c>
      <c r="B39" s="460">
        <v>188</v>
      </c>
      <c r="D39" s="462">
        <v>175</v>
      </c>
      <c r="E39" s="462">
        <v>175</v>
      </c>
      <c r="G39" s="335">
        <f t="shared" si="1"/>
        <v>0</v>
      </c>
      <c r="H39" s="335">
        <f t="shared" si="2"/>
        <v>-13</v>
      </c>
      <c r="I39" s="337"/>
      <c r="J39" s="462">
        <v>193</v>
      </c>
      <c r="K39" s="462">
        <v>197</v>
      </c>
      <c r="M39" s="335">
        <f t="shared" si="0"/>
        <v>4</v>
      </c>
      <c r="N39" s="335">
        <f t="shared" si="3"/>
        <v>22</v>
      </c>
      <c r="O39" s="521"/>
      <c r="Y39" s="225"/>
      <c r="AA39" s="259"/>
      <c r="AB39" s="259"/>
    </row>
    <row r="40" spans="1:28" s="230" customFormat="1" x14ac:dyDescent="0.25">
      <c r="A40" s="334" t="s">
        <v>282</v>
      </c>
      <c r="B40" s="460">
        <v>331</v>
      </c>
      <c r="D40" s="462">
        <v>228</v>
      </c>
      <c r="E40" s="462">
        <v>228</v>
      </c>
      <c r="G40" s="335">
        <f t="shared" si="1"/>
        <v>0</v>
      </c>
      <c r="H40" s="335">
        <f t="shared" si="2"/>
        <v>-103</v>
      </c>
      <c r="I40" s="337"/>
      <c r="J40" s="462">
        <v>299</v>
      </c>
      <c r="K40" s="462">
        <v>299</v>
      </c>
      <c r="M40" s="335">
        <f t="shared" si="0"/>
        <v>0</v>
      </c>
      <c r="N40" s="335">
        <f t="shared" si="3"/>
        <v>71</v>
      </c>
      <c r="O40" s="521"/>
      <c r="Y40" s="225"/>
      <c r="AA40" s="259"/>
      <c r="AB40" s="259"/>
    </row>
    <row r="41" spans="1:28" x14ac:dyDescent="0.25">
      <c r="A41" s="334" t="s">
        <v>283</v>
      </c>
      <c r="B41" s="461">
        <v>3736</v>
      </c>
      <c r="D41" s="336">
        <v>3696</v>
      </c>
      <c r="E41" s="336">
        <v>3696</v>
      </c>
      <c r="G41" s="335">
        <f t="shared" si="1"/>
        <v>0</v>
      </c>
      <c r="H41" s="335">
        <f t="shared" si="2"/>
        <v>-40</v>
      </c>
      <c r="I41" s="335"/>
      <c r="J41" s="336">
        <v>3696</v>
      </c>
      <c r="K41" s="336">
        <v>3696</v>
      </c>
      <c r="M41" s="335">
        <f t="shared" si="0"/>
        <v>0</v>
      </c>
      <c r="N41" s="335">
        <f t="shared" si="3"/>
        <v>0</v>
      </c>
      <c r="O41" s="520"/>
      <c r="Y41" s="216"/>
      <c r="AA41" s="232"/>
      <c r="AB41" s="232"/>
    </row>
    <row r="42" spans="1:28" x14ac:dyDescent="0.25">
      <c r="A42" s="334" t="s">
        <v>396</v>
      </c>
      <c r="B42" s="460">
        <v>300</v>
      </c>
      <c r="D42" s="462">
        <v>249</v>
      </c>
      <c r="E42" s="462">
        <v>249</v>
      </c>
      <c r="G42" s="335">
        <f t="shared" ref="G42" si="4">E42-D42</f>
        <v>0</v>
      </c>
      <c r="H42" s="335">
        <f t="shared" ref="H42" si="5">E42-B42</f>
        <v>-51</v>
      </c>
      <c r="I42" s="335"/>
      <c r="J42" s="462">
        <v>272</v>
      </c>
      <c r="K42" s="462">
        <v>272</v>
      </c>
      <c r="M42" s="335">
        <f t="shared" ref="M42" si="6">K42-J42</f>
        <v>0</v>
      </c>
      <c r="N42" s="335">
        <f t="shared" ref="N42" si="7">K42-E42</f>
        <v>23</v>
      </c>
      <c r="O42" s="520"/>
      <c r="Y42" s="216"/>
      <c r="AA42" s="232"/>
      <c r="AB42" s="232"/>
    </row>
    <row r="43" spans="1:28" x14ac:dyDescent="0.25">
      <c r="A43" s="334" t="s">
        <v>284</v>
      </c>
      <c r="B43" s="461">
        <v>4538</v>
      </c>
      <c r="D43" s="336">
        <v>5040</v>
      </c>
      <c r="E43" s="336">
        <v>5040</v>
      </c>
      <c r="G43" s="335">
        <f t="shared" si="1"/>
        <v>0</v>
      </c>
      <c r="H43" s="335">
        <f t="shared" si="2"/>
        <v>502</v>
      </c>
      <c r="I43" s="335"/>
      <c r="J43" s="336">
        <v>4725</v>
      </c>
      <c r="K43" s="336">
        <v>4725</v>
      </c>
      <c r="M43" s="335">
        <f t="shared" si="0"/>
        <v>0</v>
      </c>
      <c r="N43" s="335">
        <f t="shared" si="3"/>
        <v>-315</v>
      </c>
      <c r="O43" s="520"/>
      <c r="Y43" s="216"/>
      <c r="AA43" s="232"/>
      <c r="AB43" s="232"/>
    </row>
    <row r="44" spans="1:28" x14ac:dyDescent="0.25">
      <c r="A44" s="334" t="s">
        <v>285</v>
      </c>
      <c r="B44" s="461">
        <v>7300</v>
      </c>
      <c r="D44" s="336">
        <v>7200</v>
      </c>
      <c r="E44" s="336">
        <v>7200</v>
      </c>
      <c r="G44" s="335">
        <f t="shared" si="1"/>
        <v>0</v>
      </c>
      <c r="H44" s="335">
        <f t="shared" si="2"/>
        <v>-100</v>
      </c>
      <c r="I44" s="335"/>
      <c r="J44" s="336">
        <v>7600</v>
      </c>
      <c r="K44" s="336">
        <v>7600</v>
      </c>
      <c r="M44" s="335">
        <f t="shared" si="0"/>
        <v>0</v>
      </c>
      <c r="N44" s="335">
        <f t="shared" si="3"/>
        <v>400</v>
      </c>
      <c r="O44" s="520"/>
      <c r="Y44" s="216"/>
      <c r="AA44" s="232"/>
      <c r="AB44" s="232"/>
    </row>
    <row r="45" spans="1:28" x14ac:dyDescent="0.25">
      <c r="A45" s="334" t="s">
        <v>397</v>
      </c>
      <c r="B45" s="460">
        <v>220</v>
      </c>
      <c r="D45" s="462">
        <v>231</v>
      </c>
      <c r="E45" s="462">
        <v>231</v>
      </c>
      <c r="G45" s="335">
        <f t="shared" si="1"/>
        <v>0</v>
      </c>
      <c r="H45" s="335">
        <f t="shared" si="2"/>
        <v>11</v>
      </c>
      <c r="I45" s="335"/>
      <c r="J45" s="462">
        <v>205</v>
      </c>
      <c r="K45" s="462">
        <v>205</v>
      </c>
      <c r="M45" s="335">
        <f t="shared" si="0"/>
        <v>0</v>
      </c>
      <c r="N45" s="335">
        <f t="shared" si="3"/>
        <v>-26</v>
      </c>
      <c r="O45" s="520"/>
      <c r="Y45" s="216"/>
      <c r="AA45" s="232"/>
      <c r="AB45" s="232"/>
    </row>
    <row r="46" spans="1:28" x14ac:dyDescent="0.25">
      <c r="A46" s="334" t="s">
        <v>286</v>
      </c>
      <c r="B46" s="460">
        <v>716</v>
      </c>
      <c r="D46" s="462">
        <v>790</v>
      </c>
      <c r="E46" s="462">
        <v>790</v>
      </c>
      <c r="G46" s="335">
        <f t="shared" si="1"/>
        <v>0</v>
      </c>
      <c r="H46" s="335">
        <f t="shared" si="2"/>
        <v>74</v>
      </c>
      <c r="I46" s="335"/>
      <c r="J46" s="462">
        <v>670</v>
      </c>
      <c r="K46" s="462">
        <v>670</v>
      </c>
      <c r="M46" s="335">
        <f t="shared" si="0"/>
        <v>0</v>
      </c>
      <c r="N46" s="335">
        <f t="shared" si="3"/>
        <v>-120</v>
      </c>
      <c r="O46" s="520"/>
      <c r="Y46" s="216"/>
      <c r="AA46" s="232"/>
      <c r="AB46" s="232"/>
    </row>
    <row r="47" spans="1:28" x14ac:dyDescent="0.25">
      <c r="A47" s="334" t="s">
        <v>287</v>
      </c>
      <c r="B47" s="461">
        <v>2455</v>
      </c>
      <c r="D47" s="336">
        <v>2202</v>
      </c>
      <c r="E47" s="336">
        <v>2200</v>
      </c>
      <c r="G47" s="335">
        <f t="shared" si="1"/>
        <v>-2</v>
      </c>
      <c r="H47" s="335">
        <f t="shared" si="2"/>
        <v>-255</v>
      </c>
      <c r="I47" s="335"/>
      <c r="J47" s="336">
        <v>2200</v>
      </c>
      <c r="K47" s="336">
        <v>2250</v>
      </c>
      <c r="M47" s="335">
        <f t="shared" si="0"/>
        <v>50</v>
      </c>
      <c r="N47" s="335">
        <f t="shared" si="3"/>
        <v>50</v>
      </c>
      <c r="O47" s="520"/>
      <c r="Y47" s="216"/>
      <c r="AA47" s="232"/>
      <c r="AB47" s="232"/>
    </row>
    <row r="48" spans="1:28" x14ac:dyDescent="0.25">
      <c r="A48" s="334" t="s">
        <v>288</v>
      </c>
      <c r="B48" s="461">
        <v>11732</v>
      </c>
      <c r="D48" s="336">
        <v>11927</v>
      </c>
      <c r="E48" s="336">
        <v>11927</v>
      </c>
      <c r="G48" s="335">
        <f t="shared" si="1"/>
        <v>0</v>
      </c>
      <c r="H48" s="335">
        <f t="shared" si="2"/>
        <v>195</v>
      </c>
      <c r="I48" s="335"/>
      <c r="J48" s="336">
        <v>12200</v>
      </c>
      <c r="K48" s="336">
        <v>12400</v>
      </c>
      <c r="M48" s="335">
        <f t="shared" si="0"/>
        <v>200</v>
      </c>
      <c r="N48" s="335">
        <f t="shared" si="3"/>
        <v>473</v>
      </c>
      <c r="O48" s="520"/>
      <c r="Y48" s="216"/>
      <c r="AA48" s="232"/>
      <c r="AB48" s="232"/>
    </row>
    <row r="49" spans="1:28" x14ac:dyDescent="0.25">
      <c r="A49" s="334" t="s">
        <v>289</v>
      </c>
      <c r="B49" s="460">
        <v>675</v>
      </c>
      <c r="D49" s="462">
        <v>715</v>
      </c>
      <c r="E49" s="462">
        <v>715</v>
      </c>
      <c r="G49" s="335">
        <f t="shared" si="1"/>
        <v>0</v>
      </c>
      <c r="H49" s="335">
        <f t="shared" si="2"/>
        <v>40</v>
      </c>
      <c r="I49" s="335"/>
      <c r="J49" s="462">
        <v>742</v>
      </c>
      <c r="K49" s="462">
        <v>742</v>
      </c>
      <c r="M49" s="335">
        <f t="shared" si="0"/>
        <v>0</v>
      </c>
      <c r="N49" s="335">
        <f t="shared" si="3"/>
        <v>27</v>
      </c>
      <c r="O49" s="520"/>
      <c r="Y49" s="216"/>
      <c r="AA49" s="232"/>
      <c r="AB49" s="232"/>
    </row>
    <row r="50" spans="1:28" x14ac:dyDescent="0.25">
      <c r="A50" s="334" t="s">
        <v>309</v>
      </c>
      <c r="B50" s="460">
        <v>821</v>
      </c>
      <c r="D50" s="462">
        <v>785</v>
      </c>
      <c r="E50" s="462">
        <v>786</v>
      </c>
      <c r="G50" s="335">
        <f t="shared" ref="G50" si="8">E50-D50</f>
        <v>1</v>
      </c>
      <c r="H50" s="335">
        <f t="shared" ref="H50" si="9">E50-B50</f>
        <v>-35</v>
      </c>
      <c r="I50" s="335"/>
      <c r="J50" s="462">
        <v>789</v>
      </c>
      <c r="K50" s="462">
        <v>891</v>
      </c>
      <c r="M50" s="335">
        <f t="shared" si="0"/>
        <v>102</v>
      </c>
      <c r="N50" s="335">
        <f t="shared" si="3"/>
        <v>105</v>
      </c>
      <c r="O50" s="520"/>
      <c r="Y50" s="216"/>
      <c r="AA50" s="232"/>
      <c r="AB50" s="232"/>
    </row>
    <row r="51" spans="1:28" x14ac:dyDescent="0.25">
      <c r="A51" s="334" t="s">
        <v>290</v>
      </c>
      <c r="B51" s="460">
        <v>920</v>
      </c>
      <c r="D51" s="462">
        <v>775</v>
      </c>
      <c r="E51" s="462">
        <v>775</v>
      </c>
      <c r="G51" s="335">
        <f t="shared" si="1"/>
        <v>0</v>
      </c>
      <c r="H51" s="335">
        <f t="shared" si="2"/>
        <v>-145</v>
      </c>
      <c r="I51" s="335"/>
      <c r="J51" s="462">
        <v>819</v>
      </c>
      <c r="K51" s="462">
        <v>819</v>
      </c>
      <c r="M51" s="335">
        <f t="shared" si="0"/>
        <v>0</v>
      </c>
      <c r="N51" s="335">
        <f t="shared" si="3"/>
        <v>44</v>
      </c>
      <c r="O51" s="520"/>
      <c r="Y51" s="216"/>
      <c r="AA51" s="232"/>
      <c r="AB51" s="232"/>
    </row>
    <row r="52" spans="1:28" x14ac:dyDescent="0.25">
      <c r="A52" s="334" t="s">
        <v>291</v>
      </c>
      <c r="B52" s="461">
        <v>3132</v>
      </c>
      <c r="D52" s="336">
        <v>3207</v>
      </c>
      <c r="E52" s="336">
        <v>3207</v>
      </c>
      <c r="G52" s="335">
        <f t="shared" si="1"/>
        <v>0</v>
      </c>
      <c r="H52" s="335">
        <f t="shared" si="2"/>
        <v>75</v>
      </c>
      <c r="I52" s="335"/>
      <c r="J52" s="336">
        <v>3450</v>
      </c>
      <c r="K52" s="336">
        <v>3450</v>
      </c>
      <c r="M52" s="335">
        <f t="shared" si="0"/>
        <v>0</v>
      </c>
      <c r="N52" s="335">
        <f t="shared" si="3"/>
        <v>243</v>
      </c>
      <c r="O52" s="520"/>
      <c r="Y52" s="216"/>
      <c r="AA52" s="232"/>
      <c r="AB52" s="232"/>
    </row>
    <row r="53" spans="1:28" x14ac:dyDescent="0.25">
      <c r="A53" s="334" t="s">
        <v>420</v>
      </c>
      <c r="B53" s="460">
        <v>173</v>
      </c>
      <c r="D53" s="462">
        <v>180</v>
      </c>
      <c r="E53" s="462">
        <v>180</v>
      </c>
      <c r="G53" s="335">
        <f t="shared" si="1"/>
        <v>0</v>
      </c>
      <c r="H53" s="335">
        <f t="shared" si="2"/>
        <v>7</v>
      </c>
      <c r="I53" s="335"/>
      <c r="J53" s="462">
        <v>183</v>
      </c>
      <c r="K53" s="462">
        <v>183</v>
      </c>
      <c r="M53" s="335">
        <f t="shared" si="0"/>
        <v>0</v>
      </c>
      <c r="N53" s="335">
        <f t="shared" si="3"/>
        <v>3</v>
      </c>
      <c r="O53" s="520"/>
      <c r="Y53" s="216"/>
      <c r="AA53" s="232"/>
      <c r="AB53" s="232"/>
    </row>
    <row r="54" spans="1:28" x14ac:dyDescent="0.25">
      <c r="A54" s="334" t="s">
        <v>292</v>
      </c>
      <c r="B54" s="461">
        <v>1365</v>
      </c>
      <c r="D54" s="336">
        <v>1254</v>
      </c>
      <c r="E54" s="336">
        <v>1165</v>
      </c>
      <c r="G54" s="335">
        <f t="shared" si="1"/>
        <v>-89</v>
      </c>
      <c r="H54" s="335">
        <f t="shared" si="2"/>
        <v>-200</v>
      </c>
      <c r="I54" s="335"/>
      <c r="J54" s="336">
        <v>1225</v>
      </c>
      <c r="K54" s="462">
        <v>900</v>
      </c>
      <c r="M54" s="335">
        <f t="shared" si="0"/>
        <v>-325</v>
      </c>
      <c r="N54" s="335">
        <f t="shared" si="3"/>
        <v>-265</v>
      </c>
      <c r="O54" s="520"/>
      <c r="Y54" s="216"/>
      <c r="AA54" s="232"/>
      <c r="AB54" s="232"/>
    </row>
    <row r="55" spans="1:28" x14ac:dyDescent="0.25">
      <c r="A55" s="334" t="s">
        <v>293</v>
      </c>
      <c r="B55" s="461">
        <v>2254</v>
      </c>
      <c r="D55" s="336">
        <v>2293</v>
      </c>
      <c r="E55" s="336">
        <v>2293</v>
      </c>
      <c r="G55" s="335">
        <f t="shared" si="1"/>
        <v>0</v>
      </c>
      <c r="H55" s="335">
        <f t="shared" si="2"/>
        <v>39</v>
      </c>
      <c r="I55" s="335"/>
      <c r="J55" s="336">
        <v>2310</v>
      </c>
      <c r="K55" s="336">
        <v>2310</v>
      </c>
      <c r="M55" s="335">
        <f t="shared" si="0"/>
        <v>0</v>
      </c>
      <c r="N55" s="335">
        <f t="shared" si="3"/>
        <v>17</v>
      </c>
      <c r="O55" s="520"/>
      <c r="Y55" s="216"/>
      <c r="AA55" s="232"/>
      <c r="AB55" s="232"/>
    </row>
    <row r="56" spans="1:28" x14ac:dyDescent="0.25">
      <c r="A56" s="334" t="s">
        <v>294</v>
      </c>
      <c r="B56" s="461">
        <v>20340</v>
      </c>
      <c r="D56" s="336">
        <v>17655</v>
      </c>
      <c r="E56" s="336">
        <v>17655</v>
      </c>
      <c r="G56" s="335">
        <f t="shared" si="1"/>
        <v>0</v>
      </c>
      <c r="H56" s="335">
        <f t="shared" si="2"/>
        <v>-2685</v>
      </c>
      <c r="I56" s="335"/>
      <c r="J56" s="336">
        <v>18600</v>
      </c>
      <c r="K56" s="336">
        <v>18830</v>
      </c>
      <c r="M56" s="335">
        <f t="shared" si="0"/>
        <v>230</v>
      </c>
      <c r="N56" s="335">
        <f t="shared" si="3"/>
        <v>1175</v>
      </c>
      <c r="O56" s="520"/>
      <c r="Y56" s="216"/>
      <c r="AA56" s="232"/>
      <c r="AB56" s="232"/>
    </row>
    <row r="57" spans="1:28" x14ac:dyDescent="0.25">
      <c r="A57" s="334" t="s">
        <v>295</v>
      </c>
      <c r="B57" s="460">
        <v>610</v>
      </c>
      <c r="D57" s="462">
        <v>610</v>
      </c>
      <c r="E57" s="462">
        <v>610</v>
      </c>
      <c r="G57" s="335">
        <f t="shared" si="1"/>
        <v>0</v>
      </c>
      <c r="H57" s="335">
        <f t="shared" si="2"/>
        <v>0</v>
      </c>
      <c r="I57" s="335"/>
      <c r="J57" s="462">
        <v>591</v>
      </c>
      <c r="K57" s="462">
        <v>591</v>
      </c>
      <c r="M57" s="335">
        <f t="shared" si="0"/>
        <v>0</v>
      </c>
      <c r="N57" s="335">
        <f t="shared" si="3"/>
        <v>-19</v>
      </c>
      <c r="O57" s="520"/>
      <c r="Y57" s="216"/>
      <c r="AA57" s="232"/>
      <c r="AB57" s="232"/>
    </row>
    <row r="58" spans="1:28" x14ac:dyDescent="0.25">
      <c r="A58" s="334" t="s">
        <v>296</v>
      </c>
      <c r="B58" s="460">
        <v>170</v>
      </c>
      <c r="D58" s="462">
        <v>163</v>
      </c>
      <c r="E58" s="462">
        <v>163</v>
      </c>
      <c r="G58" s="335">
        <f t="shared" si="1"/>
        <v>0</v>
      </c>
      <c r="H58" s="335">
        <f t="shared" si="2"/>
        <v>-7</v>
      </c>
      <c r="I58" s="335"/>
      <c r="J58" s="462">
        <v>166</v>
      </c>
      <c r="K58" s="462">
        <v>166</v>
      </c>
      <c r="M58" s="335">
        <f t="shared" si="0"/>
        <v>0</v>
      </c>
      <c r="N58" s="335">
        <f t="shared" si="3"/>
        <v>3</v>
      </c>
      <c r="O58" s="520"/>
      <c r="Y58" s="216"/>
      <c r="AA58" s="232"/>
      <c r="AB58" s="232"/>
    </row>
    <row r="59" spans="1:28" x14ac:dyDescent="0.25">
      <c r="A59" s="334" t="s">
        <v>297</v>
      </c>
      <c r="B59" s="461">
        <v>7107</v>
      </c>
      <c r="D59" s="336">
        <v>5877</v>
      </c>
      <c r="E59" s="336">
        <v>5877</v>
      </c>
      <c r="G59" s="335">
        <f t="shared" si="1"/>
        <v>0</v>
      </c>
      <c r="H59" s="335">
        <f t="shared" si="2"/>
        <v>-1230</v>
      </c>
      <c r="I59" s="335"/>
      <c r="J59" s="336">
        <v>7226</v>
      </c>
      <c r="K59" s="336">
        <v>7226</v>
      </c>
      <c r="M59" s="335">
        <f t="shared" si="0"/>
        <v>0</v>
      </c>
      <c r="N59" s="335">
        <f>K59-E59</f>
        <v>1349</v>
      </c>
      <c r="O59" s="520"/>
      <c r="Y59" s="216"/>
      <c r="AA59" s="232"/>
      <c r="AB59" s="232"/>
    </row>
    <row r="60" spans="1:28" x14ac:dyDescent="0.25">
      <c r="A60" s="334" t="s">
        <v>298</v>
      </c>
      <c r="B60" s="460">
        <v>840</v>
      </c>
      <c r="D60" s="462">
        <v>846</v>
      </c>
      <c r="E60" s="462">
        <v>846</v>
      </c>
      <c r="G60" s="335">
        <f t="shared" si="1"/>
        <v>0</v>
      </c>
      <c r="H60" s="335">
        <f t="shared" si="2"/>
        <v>6</v>
      </c>
      <c r="I60" s="335"/>
      <c r="J60" s="462">
        <v>879</v>
      </c>
      <c r="K60" s="462">
        <v>858</v>
      </c>
      <c r="M60" s="335">
        <f t="shared" si="0"/>
        <v>-21</v>
      </c>
      <c r="N60" s="335">
        <f t="shared" si="3"/>
        <v>12</v>
      </c>
      <c r="O60" s="520"/>
      <c r="Y60" s="216"/>
      <c r="AA60" s="232"/>
      <c r="AB60" s="232"/>
    </row>
    <row r="61" spans="1:28" x14ac:dyDescent="0.25">
      <c r="A61" s="334" t="s">
        <v>421</v>
      </c>
      <c r="B61" s="460">
        <v>156</v>
      </c>
      <c r="D61" s="462">
        <v>140</v>
      </c>
      <c r="E61" s="462">
        <v>140</v>
      </c>
      <c r="G61" s="335">
        <f t="shared" si="1"/>
        <v>0</v>
      </c>
      <c r="H61" s="335">
        <f t="shared" si="2"/>
        <v>-16</v>
      </c>
      <c r="I61" s="335"/>
      <c r="J61" s="462">
        <v>150</v>
      </c>
      <c r="K61" s="462">
        <v>150</v>
      </c>
      <c r="M61" s="335">
        <f t="shared" si="0"/>
        <v>0</v>
      </c>
      <c r="N61" s="335">
        <f t="shared" si="3"/>
        <v>10</v>
      </c>
      <c r="O61" s="520"/>
      <c r="Y61" s="216"/>
      <c r="AA61" s="232"/>
      <c r="AB61" s="232"/>
    </row>
    <row r="62" spans="1:28" x14ac:dyDescent="0.25">
      <c r="A62" s="334" t="s">
        <v>299</v>
      </c>
      <c r="B62" s="460">
        <v>170</v>
      </c>
      <c r="D62" s="462">
        <v>140</v>
      </c>
      <c r="E62" s="462">
        <v>140</v>
      </c>
      <c r="G62" s="335">
        <f t="shared" si="1"/>
        <v>0</v>
      </c>
      <c r="H62" s="335">
        <f t="shared" si="2"/>
        <v>-30</v>
      </c>
      <c r="I62" s="335"/>
      <c r="J62" s="462">
        <v>130</v>
      </c>
      <c r="K62" s="462">
        <v>130</v>
      </c>
      <c r="M62" s="335">
        <f t="shared" si="0"/>
        <v>0</v>
      </c>
      <c r="N62" s="335">
        <f t="shared" si="3"/>
        <v>-10</v>
      </c>
      <c r="O62" s="520"/>
      <c r="Y62" s="216"/>
      <c r="AA62" s="232"/>
      <c r="AB62" s="232"/>
    </row>
    <row r="63" spans="1:28" x14ac:dyDescent="0.25">
      <c r="A63" s="334" t="s">
        <v>300</v>
      </c>
      <c r="B63" s="461">
        <v>27344</v>
      </c>
      <c r="D63" s="336">
        <v>27100</v>
      </c>
      <c r="E63" s="336">
        <v>27100</v>
      </c>
      <c r="G63" s="335">
        <f t="shared" si="1"/>
        <v>0</v>
      </c>
      <c r="H63" s="335">
        <f t="shared" si="2"/>
        <v>-244</v>
      </c>
      <c r="I63" s="335"/>
      <c r="J63" s="336">
        <v>27100</v>
      </c>
      <c r="K63" s="336">
        <v>27100</v>
      </c>
      <c r="M63" s="335">
        <f t="shared" si="0"/>
        <v>0</v>
      </c>
      <c r="N63" s="335">
        <f t="shared" si="3"/>
        <v>0</v>
      </c>
      <c r="O63" s="520"/>
      <c r="Y63" s="216"/>
      <c r="AA63" s="232"/>
      <c r="AB63" s="232"/>
    </row>
    <row r="64" spans="1:28" x14ac:dyDescent="0.25">
      <c r="A64" s="334" t="s">
        <v>301</v>
      </c>
      <c r="B64" s="419">
        <f t="shared" ref="B64" si="10">SUM(B7:B63)</f>
        <v>494997</v>
      </c>
      <c r="C64" s="419"/>
      <c r="D64" s="419">
        <f>SUM(D7:D63)</f>
        <v>495300</v>
      </c>
      <c r="E64" s="419">
        <f>SUM(E7:E63)</f>
        <v>495283</v>
      </c>
      <c r="F64" s="420"/>
      <c r="G64" s="335">
        <f t="shared" si="1"/>
        <v>-17</v>
      </c>
      <c r="H64" s="335">
        <f t="shared" si="2"/>
        <v>286</v>
      </c>
      <c r="I64" s="335"/>
      <c r="J64" s="419">
        <f>SUM(J7:J63)</f>
        <v>501975</v>
      </c>
      <c r="K64" s="419">
        <f>SUM(K7:K63)</f>
        <v>501733</v>
      </c>
      <c r="M64" s="335">
        <f t="shared" si="0"/>
        <v>-242</v>
      </c>
      <c r="N64" s="335">
        <f t="shared" si="3"/>
        <v>6450</v>
      </c>
      <c r="O64" s="520"/>
      <c r="Y64" s="216"/>
      <c r="AA64" s="232"/>
      <c r="AB64" s="232"/>
    </row>
    <row r="65" spans="1:28" x14ac:dyDescent="0.25">
      <c r="A65" s="334" t="s">
        <v>302</v>
      </c>
      <c r="B65" s="421">
        <f t="shared" ref="B65" si="11">B67-B64</f>
        <v>2345</v>
      </c>
      <c r="C65" s="421"/>
      <c r="D65" s="421">
        <v>2409</v>
      </c>
      <c r="E65" s="421">
        <f t="shared" ref="E65" si="12">E67-E64</f>
        <v>2409</v>
      </c>
      <c r="F65" s="420"/>
      <c r="G65" s="422">
        <f t="shared" si="1"/>
        <v>0</v>
      </c>
      <c r="H65" s="422">
        <f t="shared" si="2"/>
        <v>64</v>
      </c>
      <c r="I65" s="422"/>
      <c r="J65" s="421">
        <f t="shared" ref="J65" si="13">J67-J64</f>
        <v>2436</v>
      </c>
      <c r="K65" s="421">
        <f t="shared" ref="K65" si="14">K67-K64</f>
        <v>2434</v>
      </c>
      <c r="L65" s="420"/>
      <c r="M65" s="335">
        <f t="shared" si="0"/>
        <v>-2</v>
      </c>
      <c r="N65" s="422">
        <f t="shared" si="3"/>
        <v>25</v>
      </c>
      <c r="Y65" s="216"/>
      <c r="AA65" s="232"/>
      <c r="AB65" s="232"/>
    </row>
    <row r="66" spans="1:28" ht="12" customHeight="1" x14ac:dyDescent="0.25">
      <c r="A66" s="334"/>
      <c r="B66" s="338"/>
      <c r="G66" s="335"/>
      <c r="H66" s="335"/>
      <c r="I66" s="335"/>
      <c r="M66" s="466"/>
      <c r="N66" s="335"/>
      <c r="Y66" s="216"/>
      <c r="AA66" s="232"/>
      <c r="AB66" s="232"/>
    </row>
    <row r="67" spans="1:28" x14ac:dyDescent="0.25">
      <c r="A67" s="334" t="s">
        <v>303</v>
      </c>
      <c r="B67" s="340">
        <v>497342</v>
      </c>
      <c r="D67" s="215">
        <v>497709</v>
      </c>
      <c r="E67" s="215">
        <v>497692</v>
      </c>
      <c r="G67" s="335">
        <f t="shared" si="1"/>
        <v>-17</v>
      </c>
      <c r="H67" s="335">
        <f t="shared" si="2"/>
        <v>350</v>
      </c>
      <c r="I67" s="335"/>
      <c r="J67" s="215">
        <v>504411</v>
      </c>
      <c r="K67" s="215">
        <v>504167</v>
      </c>
      <c r="M67" s="335">
        <f>K67-J67</f>
        <v>-244</v>
      </c>
      <c r="N67" s="335">
        <f t="shared" si="3"/>
        <v>6475</v>
      </c>
      <c r="O67" s="341"/>
      <c r="Y67" s="216"/>
    </row>
    <row r="68" spans="1:28" x14ac:dyDescent="0.25">
      <c r="A68" s="342"/>
      <c r="B68" s="343"/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  <c r="N68" s="344"/>
      <c r="Y68" s="216"/>
      <c r="AA68" s="232"/>
      <c r="AB68" s="232"/>
    </row>
    <row r="69" spans="1:28" x14ac:dyDescent="0.25">
      <c r="A69" s="368" t="s">
        <v>429</v>
      </c>
      <c r="B69" s="345"/>
      <c r="C69" s="335"/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Y69" s="216"/>
      <c r="AA69" s="232"/>
      <c r="AB69" s="232"/>
    </row>
    <row r="70" spans="1:28" ht="12" x14ac:dyDescent="0.3">
      <c r="A70" s="368" t="s">
        <v>433</v>
      </c>
      <c r="B70" s="345"/>
      <c r="C70" s="335"/>
      <c r="D70" s="362"/>
      <c r="E70" s="362"/>
      <c r="F70" s="362"/>
      <c r="G70" s="362"/>
      <c r="H70" s="362"/>
      <c r="I70" s="362"/>
      <c r="J70" s="362"/>
      <c r="K70" s="362"/>
      <c r="L70" s="362"/>
      <c r="M70" s="362"/>
      <c r="N70" s="418"/>
      <c r="Y70" s="216"/>
      <c r="AA70" s="232"/>
      <c r="AB70" s="232"/>
    </row>
    <row r="71" spans="1:28" ht="12" x14ac:dyDescent="0.3">
      <c r="A71" s="19" t="s">
        <v>438</v>
      </c>
      <c r="B71" s="346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Y71" s="216"/>
      <c r="AA71" s="232"/>
      <c r="AB71" s="232"/>
    </row>
    <row r="72" spans="1:28" x14ac:dyDescent="0.25">
      <c r="B72" s="347"/>
      <c r="C72" s="335"/>
      <c r="D72" s="348"/>
      <c r="E72" s="348"/>
      <c r="F72" s="335"/>
      <c r="G72" s="335"/>
      <c r="H72" s="335"/>
      <c r="I72" s="335"/>
      <c r="J72" s="348"/>
      <c r="K72" s="348"/>
      <c r="L72" s="335"/>
      <c r="M72" s="335"/>
      <c r="N72" s="335"/>
      <c r="Y72" s="216"/>
      <c r="AA72" s="232"/>
      <c r="AB72" s="232"/>
    </row>
    <row r="73" spans="1:28" x14ac:dyDescent="0.25">
      <c r="B73" s="347"/>
      <c r="C73" s="335"/>
      <c r="D73" s="348"/>
      <c r="E73" s="348"/>
      <c r="F73" s="335"/>
      <c r="G73" s="335"/>
      <c r="H73" s="335"/>
      <c r="I73" s="335"/>
      <c r="J73" s="348"/>
      <c r="K73" s="348"/>
      <c r="L73" s="335"/>
      <c r="M73" s="335"/>
      <c r="N73" s="335"/>
      <c r="Y73" s="216"/>
      <c r="AA73" s="232"/>
      <c r="AB73" s="232"/>
    </row>
    <row r="74" spans="1:28" x14ac:dyDescent="0.25">
      <c r="B74" s="338"/>
      <c r="Y74" s="216"/>
      <c r="AA74" s="232"/>
      <c r="AB74" s="232"/>
    </row>
    <row r="75" spans="1:28" x14ac:dyDescent="0.25">
      <c r="B75" s="338"/>
      <c r="Y75" s="216"/>
      <c r="AA75" s="232"/>
      <c r="AB75" s="232"/>
    </row>
    <row r="76" spans="1:28" x14ac:dyDescent="0.25">
      <c r="B76" s="349"/>
      <c r="D76" s="349"/>
      <c r="E76" s="349"/>
      <c r="F76" s="349"/>
      <c r="J76" s="349"/>
      <c r="K76" s="349"/>
      <c r="L76" s="349"/>
      <c r="Y76" s="216"/>
      <c r="AA76" s="232"/>
      <c r="AB76" s="232"/>
    </row>
    <row r="77" spans="1:28" x14ac:dyDescent="0.25">
      <c r="Y77" s="216"/>
      <c r="AA77" s="232"/>
      <c r="AB77" s="232"/>
    </row>
    <row r="78" spans="1:28" x14ac:dyDescent="0.25">
      <c r="Y78" s="216"/>
      <c r="AA78" s="232"/>
      <c r="AB78" s="232"/>
    </row>
    <row r="79" spans="1:28" x14ac:dyDescent="0.25">
      <c r="Y79" s="216"/>
      <c r="AA79" s="232"/>
      <c r="AB79" s="232"/>
    </row>
    <row r="81" spans="2:31" x14ac:dyDescent="0.25">
      <c r="N81" s="350"/>
      <c r="Y81" s="216"/>
      <c r="AA81" s="232"/>
      <c r="AB81" s="232"/>
    </row>
    <row r="82" spans="2:31" x14ac:dyDescent="0.25">
      <c r="Y82" s="245"/>
      <c r="AA82" s="245"/>
      <c r="AB82" s="245"/>
    </row>
    <row r="83" spans="2:31" ht="11.15" customHeight="1" x14ac:dyDescent="0.25">
      <c r="Y83" s="245"/>
      <c r="AA83" s="245"/>
      <c r="AB83" s="245"/>
      <c r="AC83" s="245"/>
      <c r="AD83" s="245"/>
      <c r="AE83" s="245"/>
    </row>
    <row r="84" spans="2:31" ht="11.15" customHeight="1" x14ac:dyDescent="0.25">
      <c r="Y84" s="216"/>
    </row>
    <row r="85" spans="2:31" ht="11.15" customHeight="1" x14ac:dyDescent="0.25"/>
    <row r="86" spans="2:31" ht="11.15" customHeight="1" x14ac:dyDescent="0.25">
      <c r="Y86" s="216"/>
    </row>
    <row r="87" spans="2:31" x14ac:dyDescent="0.25">
      <c r="P87" s="258"/>
      <c r="Y87" s="216"/>
    </row>
    <row r="88" spans="2:31" x14ac:dyDescent="0.25">
      <c r="Y88" s="216"/>
    </row>
    <row r="89" spans="2:31" x14ac:dyDescent="0.25">
      <c r="Y89" s="216"/>
    </row>
    <row r="91" spans="2:31" x14ac:dyDescent="0.25">
      <c r="Y91" s="216"/>
    </row>
    <row r="92" spans="2:31" x14ac:dyDescent="0.25">
      <c r="B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</row>
    <row r="93" spans="2:31" x14ac:dyDescent="0.25">
      <c r="B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</row>
    <row r="94" spans="2:31" x14ac:dyDescent="0.25">
      <c r="B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</row>
    <row r="95" spans="2:31" x14ac:dyDescent="0.25">
      <c r="B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</row>
    <row r="99" spans="2:24" x14ac:dyDescent="0.25">
      <c r="B99" s="260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</row>
    <row r="100" spans="2:24" x14ac:dyDescent="0.25"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</row>
    <row r="101" spans="2:24" x14ac:dyDescent="0.25">
      <c r="C101" s="260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</row>
    <row r="102" spans="2:24" x14ac:dyDescent="0.25"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</row>
    <row r="103" spans="2:24" x14ac:dyDescent="0.25">
      <c r="B103" s="260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</row>
    <row r="104" spans="2:24" x14ac:dyDescent="0.25"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</row>
    <row r="105" spans="2:24" x14ac:dyDescent="0.25">
      <c r="B105" s="260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</row>
    <row r="106" spans="2:24" x14ac:dyDescent="0.25"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</row>
    <row r="107" spans="2:24" x14ac:dyDescent="0.25">
      <c r="B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</row>
    <row r="108" spans="2:24" x14ac:dyDescent="0.25">
      <c r="C108" s="260"/>
      <c r="G108" s="258"/>
      <c r="I108" s="258"/>
      <c r="M108" s="258"/>
    </row>
    <row r="109" spans="2:24" x14ac:dyDescent="0.25">
      <c r="B109" s="260"/>
      <c r="C109" s="260"/>
      <c r="D109" s="260"/>
      <c r="E109" s="260"/>
      <c r="F109" s="260"/>
      <c r="G109" s="260"/>
      <c r="H109" s="260"/>
      <c r="I109" s="260"/>
      <c r="J109" s="260"/>
      <c r="K109" s="260"/>
      <c r="L109" s="260"/>
      <c r="M109" s="260"/>
      <c r="N109" s="260"/>
    </row>
    <row r="110" spans="2:24" x14ac:dyDescent="0.25">
      <c r="B110" s="260"/>
      <c r="C110" s="260"/>
      <c r="D110" s="260"/>
      <c r="E110" s="260"/>
      <c r="F110" s="260"/>
      <c r="G110" s="260"/>
      <c r="H110" s="260"/>
      <c r="I110" s="260"/>
      <c r="J110" s="260"/>
      <c r="K110" s="260"/>
      <c r="L110" s="260"/>
      <c r="M110" s="260"/>
      <c r="N110" s="260"/>
    </row>
    <row r="111" spans="2:24" x14ac:dyDescent="0.25"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</row>
    <row r="112" spans="2:24" x14ac:dyDescent="0.25"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</row>
    <row r="113" spans="2:14" x14ac:dyDescent="0.25"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0"/>
      <c r="N113" s="260"/>
    </row>
    <row r="114" spans="2:14" x14ac:dyDescent="0.25">
      <c r="B114" s="260"/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</row>
    <row r="115" spans="2:14" x14ac:dyDescent="0.25">
      <c r="B115" s="260"/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</row>
    <row r="116" spans="2:14" x14ac:dyDescent="0.25">
      <c r="B116" s="260"/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0"/>
      <c r="N116" s="260"/>
    </row>
    <row r="117" spans="2:14" x14ac:dyDescent="0.25">
      <c r="B117" s="260"/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0"/>
      <c r="N117" s="260"/>
    </row>
    <row r="118" spans="2:14" x14ac:dyDescent="0.25"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</row>
    <row r="119" spans="2:14" x14ac:dyDescent="0.25">
      <c r="B119" s="260"/>
      <c r="C119" s="260"/>
      <c r="D119" s="260"/>
      <c r="E119" s="260"/>
      <c r="F119" s="260"/>
      <c r="G119" s="260"/>
      <c r="H119" s="260"/>
      <c r="I119" s="260"/>
      <c r="J119" s="260"/>
      <c r="K119" s="260"/>
      <c r="L119" s="260"/>
      <c r="M119" s="260"/>
      <c r="N119" s="260"/>
    </row>
    <row r="120" spans="2:14" x14ac:dyDescent="0.25"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</row>
    <row r="121" spans="2:14" x14ac:dyDescent="0.25"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</row>
    <row r="122" spans="2:14" x14ac:dyDescent="0.25"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</row>
    <row r="123" spans="2:14" x14ac:dyDescent="0.25"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  <c r="M123" s="260"/>
      <c r="N123" s="260"/>
    </row>
    <row r="124" spans="2:14" x14ac:dyDescent="0.25">
      <c r="C124" s="260"/>
    </row>
    <row r="125" spans="2:14" x14ac:dyDescent="0.25">
      <c r="C125" s="260"/>
    </row>
    <row r="126" spans="2:14" x14ac:dyDescent="0.25">
      <c r="C126" s="260"/>
    </row>
    <row r="127" spans="2:14" x14ac:dyDescent="0.25">
      <c r="C127" s="260"/>
    </row>
    <row r="128" spans="2:14" x14ac:dyDescent="0.25">
      <c r="C128" s="260"/>
    </row>
    <row r="129" spans="3:3" x14ac:dyDescent="0.25">
      <c r="C129" s="260"/>
    </row>
    <row r="130" spans="3:3" x14ac:dyDescent="0.25">
      <c r="C130" s="260"/>
    </row>
    <row r="131" spans="3:3" x14ac:dyDescent="0.25">
      <c r="C131" s="260"/>
    </row>
    <row r="132" spans="3:3" x14ac:dyDescent="0.25">
      <c r="C132" s="260"/>
    </row>
    <row r="133" spans="3:3" x14ac:dyDescent="0.25">
      <c r="C133" s="260"/>
    </row>
    <row r="134" spans="3:3" x14ac:dyDescent="0.25">
      <c r="C134" s="260"/>
    </row>
    <row r="135" spans="3:3" x14ac:dyDescent="0.25">
      <c r="C135" s="260"/>
    </row>
    <row r="136" spans="3:3" x14ac:dyDescent="0.25">
      <c r="C136" s="260"/>
    </row>
    <row r="137" spans="3:3" x14ac:dyDescent="0.25">
      <c r="C137" s="260"/>
    </row>
    <row r="138" spans="3:3" x14ac:dyDescent="0.25">
      <c r="C138" s="260"/>
    </row>
    <row r="139" spans="3:3" x14ac:dyDescent="0.25">
      <c r="C139" s="260"/>
    </row>
    <row r="140" spans="3:3" x14ac:dyDescent="0.25">
      <c r="C140" s="260"/>
    </row>
    <row r="151" spans="2:24" x14ac:dyDescent="0.25">
      <c r="P151" s="258"/>
    </row>
    <row r="152" spans="2:24" x14ac:dyDescent="0.25">
      <c r="B152" s="260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</row>
    <row r="156" spans="2:24" x14ac:dyDescent="0.25">
      <c r="B156" s="260"/>
      <c r="C156" s="260"/>
      <c r="D156" s="260"/>
      <c r="E156" s="260"/>
      <c r="F156" s="260"/>
      <c r="H156" s="260"/>
      <c r="I156" s="260"/>
      <c r="J156" s="260"/>
      <c r="K156" s="260"/>
      <c r="L156" s="260"/>
      <c r="N156" s="260"/>
    </row>
    <row r="157" spans="2:24" x14ac:dyDescent="0.25">
      <c r="B157" s="260"/>
      <c r="C157" s="260"/>
      <c r="D157" s="260"/>
      <c r="E157" s="260"/>
      <c r="F157" s="260"/>
      <c r="H157" s="260"/>
      <c r="I157" s="260"/>
      <c r="J157" s="260"/>
      <c r="K157" s="260"/>
      <c r="L157" s="260"/>
      <c r="N157" s="260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</row>
    <row r="158" spans="2:24" x14ac:dyDescent="0.25">
      <c r="B158" s="260"/>
      <c r="C158" s="260"/>
      <c r="D158" s="260"/>
      <c r="E158" s="260"/>
      <c r="F158" s="260"/>
      <c r="H158" s="260"/>
      <c r="I158" s="260"/>
      <c r="J158" s="260"/>
      <c r="K158" s="260"/>
      <c r="L158" s="260"/>
      <c r="N158" s="260"/>
    </row>
    <row r="159" spans="2:24" x14ac:dyDescent="0.25">
      <c r="B159" s="260"/>
      <c r="C159" s="260"/>
      <c r="D159" s="260"/>
      <c r="E159" s="260"/>
      <c r="F159" s="260"/>
      <c r="H159" s="260"/>
      <c r="I159" s="260"/>
      <c r="J159" s="260"/>
      <c r="K159" s="260"/>
      <c r="L159" s="260"/>
      <c r="N159" s="260"/>
    </row>
    <row r="161" spans="2:14" x14ac:dyDescent="0.25">
      <c r="B161" s="260"/>
      <c r="C161" s="260"/>
      <c r="D161" s="260"/>
      <c r="E161" s="260"/>
      <c r="F161" s="260"/>
      <c r="H161" s="260"/>
      <c r="I161" s="260"/>
      <c r="J161" s="260"/>
      <c r="K161" s="260"/>
      <c r="L161" s="260"/>
      <c r="N161" s="260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34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ColWidth="8.9140625" defaultRowHeight="12.5" x14ac:dyDescent="0.25"/>
  <cols>
    <col min="1" max="1" width="19.33203125" style="353" customWidth="1"/>
    <col min="2" max="2" width="9.33203125" style="355" customWidth="1"/>
    <col min="3" max="3" width="1.25" style="357" customWidth="1"/>
    <col min="4" max="5" width="9.33203125" style="355" customWidth="1"/>
    <col min="6" max="6" width="1.75" style="355" customWidth="1"/>
    <col min="7" max="7" width="8.6640625" style="356" customWidth="1"/>
    <col min="8" max="8" width="8.08203125" style="356" customWidth="1"/>
    <col min="9" max="9" width="2" style="356" customWidth="1"/>
    <col min="10" max="11" width="9.33203125" style="355" customWidth="1"/>
    <col min="12" max="12" width="1.75" style="354" customWidth="1"/>
    <col min="13" max="13" width="8.6640625" style="353" customWidth="1"/>
    <col min="14" max="14" width="8.08203125" style="353" customWidth="1"/>
    <col min="15" max="15" width="8.6640625" style="352" customWidth="1"/>
    <col min="16" max="16384" width="8.9140625" style="351"/>
  </cols>
  <sheetData>
    <row r="1" spans="1:15" ht="12.75" customHeight="1" x14ac:dyDescent="0.25">
      <c r="A1" s="315" t="s">
        <v>356</v>
      </c>
      <c r="B1" s="327"/>
      <c r="C1" s="378"/>
      <c r="D1" s="327"/>
      <c r="E1" s="327"/>
      <c r="F1" s="327"/>
      <c r="G1" s="208"/>
      <c r="H1" s="208"/>
      <c r="I1" s="208"/>
      <c r="J1" s="327"/>
      <c r="K1" s="327"/>
      <c r="L1" s="327"/>
      <c r="M1" s="208"/>
      <c r="N1" s="208"/>
    </row>
    <row r="2" spans="1:15" ht="12.75" customHeight="1" x14ac:dyDescent="0.25">
      <c r="A2" s="272"/>
      <c r="B2" s="384"/>
      <c r="C2" s="383"/>
      <c r="D2" s="384"/>
      <c r="E2" s="384"/>
      <c r="F2" s="319" t="s">
        <v>361</v>
      </c>
      <c r="G2" s="386"/>
      <c r="H2" s="385"/>
      <c r="I2" s="382"/>
      <c r="J2" s="384"/>
      <c r="K2" s="384"/>
      <c r="L2" s="319" t="s">
        <v>387</v>
      </c>
      <c r="M2" s="319"/>
      <c r="N2" s="320"/>
    </row>
    <row r="3" spans="1:15" ht="12.75" customHeight="1" x14ac:dyDescent="0.25">
      <c r="A3" s="272"/>
      <c r="B3" s="380"/>
      <c r="C3" s="383"/>
      <c r="D3" s="380" t="s">
        <v>73</v>
      </c>
      <c r="E3" s="380" t="s">
        <v>74</v>
      </c>
      <c r="F3" s="380"/>
      <c r="G3" s="382" t="s">
        <v>247</v>
      </c>
      <c r="H3" s="382" t="s">
        <v>248</v>
      </c>
      <c r="I3" s="381"/>
      <c r="J3" s="380" t="s">
        <v>73</v>
      </c>
      <c r="K3" s="380" t="s">
        <v>74</v>
      </c>
      <c r="L3" s="379"/>
      <c r="M3" s="322" t="s">
        <v>247</v>
      </c>
      <c r="N3" s="322" t="s">
        <v>248</v>
      </c>
    </row>
    <row r="4" spans="1:15" ht="12.75" customHeight="1" x14ac:dyDescent="0.25">
      <c r="A4" s="325" t="s">
        <v>108</v>
      </c>
      <c r="B4" s="377">
        <v>2019</v>
      </c>
      <c r="C4" s="378"/>
      <c r="D4" s="377">
        <v>2021</v>
      </c>
      <c r="E4" s="377">
        <v>2021</v>
      </c>
      <c r="F4" s="377"/>
      <c r="G4" s="320" t="s">
        <v>249</v>
      </c>
      <c r="H4" s="320" t="s">
        <v>250</v>
      </c>
      <c r="I4" s="327"/>
      <c r="J4" s="377">
        <v>2021</v>
      </c>
      <c r="K4" s="377">
        <v>2021</v>
      </c>
      <c r="L4" s="377"/>
      <c r="M4" s="320" t="s">
        <v>249</v>
      </c>
      <c r="N4" s="320" t="s">
        <v>250</v>
      </c>
    </row>
    <row r="5" spans="1:15" ht="12.75" customHeight="1" x14ac:dyDescent="0.25">
      <c r="A5" s="332"/>
      <c r="F5" s="375"/>
      <c r="G5" s="360"/>
      <c r="H5" s="375" t="s">
        <v>311</v>
      </c>
      <c r="I5" s="375"/>
      <c r="L5" s="376"/>
      <c r="M5" s="331"/>
      <c r="N5" s="331"/>
    </row>
    <row r="6" spans="1:15" ht="12.75" customHeight="1" x14ac:dyDescent="0.25">
      <c r="A6" s="229"/>
      <c r="G6" s="360"/>
      <c r="H6" s="360"/>
      <c r="I6" s="375"/>
      <c r="M6" s="331"/>
      <c r="N6" s="331"/>
    </row>
    <row r="7" spans="1:15" ht="12.75" customHeight="1" x14ac:dyDescent="0.25">
      <c r="A7" s="334" t="s">
        <v>253</v>
      </c>
      <c r="B7" s="462">
        <v>388</v>
      </c>
      <c r="D7" s="462">
        <v>335</v>
      </c>
      <c r="E7" s="462">
        <v>335</v>
      </c>
      <c r="F7" s="359"/>
      <c r="G7" s="345">
        <f t="shared" ref="G7:G42" si="0">E7-D7</f>
        <v>0</v>
      </c>
      <c r="H7" s="345">
        <f t="shared" ref="H7:H42" si="1">E7-B7</f>
        <v>-53</v>
      </c>
      <c r="I7" s="345"/>
      <c r="J7" s="462">
        <v>300</v>
      </c>
      <c r="K7" s="462">
        <v>300</v>
      </c>
      <c r="L7" s="358"/>
      <c r="M7" s="345">
        <f t="shared" ref="M7:M46" si="2">K7-J7</f>
        <v>0</v>
      </c>
      <c r="N7" s="335">
        <f t="shared" ref="N7:N44" si="3">K7-E7</f>
        <v>-35</v>
      </c>
    </row>
    <row r="8" spans="1:15" s="373" customFormat="1" ht="12.75" customHeight="1" x14ac:dyDescent="0.25">
      <c r="A8" s="374" t="s">
        <v>254</v>
      </c>
      <c r="B8" s="462">
        <v>134</v>
      </c>
      <c r="C8" s="356"/>
      <c r="D8" s="462">
        <v>42</v>
      </c>
      <c r="E8" s="462">
        <v>42</v>
      </c>
      <c r="F8" s="359"/>
      <c r="G8" s="345">
        <f t="shared" si="0"/>
        <v>0</v>
      </c>
      <c r="H8" s="345">
        <f t="shared" si="1"/>
        <v>-92</v>
      </c>
      <c r="I8" s="345"/>
      <c r="J8" s="462">
        <v>150</v>
      </c>
      <c r="K8" s="462">
        <v>150</v>
      </c>
      <c r="L8" s="358"/>
      <c r="M8" s="345">
        <f t="shared" si="2"/>
        <v>0</v>
      </c>
      <c r="N8" s="335">
        <f t="shared" si="3"/>
        <v>108</v>
      </c>
      <c r="O8" s="353"/>
    </row>
    <row r="9" spans="1:15" ht="12.75" customHeight="1" x14ac:dyDescent="0.25">
      <c r="A9" s="372" t="s">
        <v>256</v>
      </c>
      <c r="B9" s="462">
        <v>954</v>
      </c>
      <c r="D9" s="336">
        <v>1240</v>
      </c>
      <c r="E9" s="336">
        <v>1240</v>
      </c>
      <c r="F9" s="359"/>
      <c r="G9" s="345">
        <f t="shared" si="0"/>
        <v>0</v>
      </c>
      <c r="H9" s="345">
        <f t="shared" si="1"/>
        <v>286</v>
      </c>
      <c r="I9" s="345"/>
      <c r="J9" s="462">
        <v>800</v>
      </c>
      <c r="K9" s="462">
        <v>900</v>
      </c>
      <c r="L9" s="358"/>
      <c r="M9" s="345">
        <f t="shared" si="2"/>
        <v>100</v>
      </c>
      <c r="N9" s="335">
        <f t="shared" si="3"/>
        <v>-340</v>
      </c>
    </row>
    <row r="10" spans="1:15" ht="12.75" customHeight="1" x14ac:dyDescent="0.25">
      <c r="A10" s="372" t="s">
        <v>257</v>
      </c>
      <c r="B10" s="336">
        <v>2700</v>
      </c>
      <c r="D10" s="455">
        <v>2300</v>
      </c>
      <c r="E10" s="455">
        <v>2300</v>
      </c>
      <c r="F10" s="359"/>
      <c r="G10" s="345">
        <f t="shared" si="0"/>
        <v>0</v>
      </c>
      <c r="H10" s="345">
        <f t="shared" si="1"/>
        <v>-400</v>
      </c>
      <c r="I10" s="345"/>
      <c r="J10" s="455">
        <v>2400</v>
      </c>
      <c r="K10" s="455">
        <v>2100</v>
      </c>
      <c r="L10" s="358"/>
      <c r="M10" s="345">
        <f t="shared" si="2"/>
        <v>-300</v>
      </c>
      <c r="N10" s="335">
        <f t="shared" si="3"/>
        <v>-200</v>
      </c>
    </row>
    <row r="11" spans="1:15" ht="12.75" customHeight="1" x14ac:dyDescent="0.25">
      <c r="A11" s="372" t="s">
        <v>258</v>
      </c>
      <c r="B11" s="336">
        <v>1350</v>
      </c>
      <c r="D11" s="336">
        <v>1350</v>
      </c>
      <c r="E11" s="336">
        <v>1350</v>
      </c>
      <c r="F11" s="359"/>
      <c r="G11" s="345">
        <f t="shared" si="0"/>
        <v>0</v>
      </c>
      <c r="H11" s="345">
        <f t="shared" si="1"/>
        <v>0</v>
      </c>
      <c r="I11" s="345"/>
      <c r="J11" s="336">
        <v>1450</v>
      </c>
      <c r="K11" s="336">
        <v>1450</v>
      </c>
      <c r="L11" s="358"/>
      <c r="M11" s="345">
        <f t="shared" si="2"/>
        <v>0</v>
      </c>
      <c r="N11" s="335">
        <f t="shared" si="3"/>
        <v>100</v>
      </c>
    </row>
    <row r="12" spans="1:15" ht="12.75" customHeight="1" x14ac:dyDescent="0.25">
      <c r="A12" s="334" t="s">
        <v>259</v>
      </c>
      <c r="B12" s="336">
        <v>2720</v>
      </c>
      <c r="D12" s="336">
        <v>2265</v>
      </c>
      <c r="E12" s="336">
        <v>2265</v>
      </c>
      <c r="F12" s="359"/>
      <c r="G12" s="345">
        <f t="shared" si="0"/>
        <v>0</v>
      </c>
      <c r="H12" s="345">
        <f t="shared" si="1"/>
        <v>-455</v>
      </c>
      <c r="I12" s="345"/>
      <c r="J12" s="336">
        <v>2300</v>
      </c>
      <c r="K12" s="336">
        <v>2300</v>
      </c>
      <c r="L12" s="358"/>
      <c r="M12" s="345">
        <f t="shared" si="2"/>
        <v>0</v>
      </c>
      <c r="N12" s="335">
        <f t="shared" si="3"/>
        <v>35</v>
      </c>
    </row>
    <row r="13" spans="1:15" ht="12.75" customHeight="1" x14ac:dyDescent="0.25">
      <c r="A13" s="334" t="s">
        <v>260</v>
      </c>
      <c r="B13" s="462">
        <v>1</v>
      </c>
      <c r="D13" s="462">
        <v>40</v>
      </c>
      <c r="E13" s="462">
        <v>40</v>
      </c>
      <c r="F13" s="359"/>
      <c r="G13" s="345">
        <f t="shared" ref="G13:G16" si="4">E13-D13</f>
        <v>0</v>
      </c>
      <c r="H13" s="345">
        <f t="shared" ref="H13:H16" si="5">E13-B13</f>
        <v>39</v>
      </c>
      <c r="I13" s="345"/>
      <c r="J13" s="462">
        <v>50</v>
      </c>
      <c r="K13" s="462">
        <v>50</v>
      </c>
      <c r="L13" s="358"/>
      <c r="M13" s="345">
        <f t="shared" ref="M13:M14" si="6">K13-J13</f>
        <v>0</v>
      </c>
      <c r="N13" s="335">
        <f t="shared" ref="N13:N14" si="7">K13-E13</f>
        <v>10</v>
      </c>
    </row>
    <row r="14" spans="1:15" ht="12.75" customHeight="1" x14ac:dyDescent="0.25">
      <c r="A14" s="334" t="s">
        <v>419</v>
      </c>
      <c r="B14" s="462">
        <v>12</v>
      </c>
      <c r="D14" s="462">
        <v>17</v>
      </c>
      <c r="E14" s="462">
        <v>17</v>
      </c>
      <c r="F14" s="359"/>
      <c r="G14" s="345">
        <f t="shared" si="4"/>
        <v>0</v>
      </c>
      <c r="H14" s="345">
        <f t="shared" si="5"/>
        <v>5</v>
      </c>
      <c r="I14" s="345"/>
      <c r="J14" s="462">
        <v>10</v>
      </c>
      <c r="K14" s="462">
        <v>10</v>
      </c>
      <c r="L14" s="358"/>
      <c r="M14" s="345">
        <f t="shared" si="6"/>
        <v>0</v>
      </c>
      <c r="N14" s="335">
        <f t="shared" si="7"/>
        <v>-7</v>
      </c>
    </row>
    <row r="15" spans="1:15" ht="12.75" customHeight="1" x14ac:dyDescent="0.25">
      <c r="A15" s="334" t="s">
        <v>261</v>
      </c>
      <c r="B15" s="462">
        <v>100</v>
      </c>
      <c r="D15" s="462">
        <v>50</v>
      </c>
      <c r="E15" s="462">
        <v>50</v>
      </c>
      <c r="F15" s="359"/>
      <c r="G15" s="345">
        <f t="shared" si="4"/>
        <v>0</v>
      </c>
      <c r="H15" s="345">
        <f t="shared" si="5"/>
        <v>-50</v>
      </c>
      <c r="I15" s="345"/>
      <c r="J15" s="462">
        <v>50</v>
      </c>
      <c r="K15" s="462">
        <v>50</v>
      </c>
      <c r="L15" s="358"/>
      <c r="M15" s="345">
        <f t="shared" si="2"/>
        <v>0</v>
      </c>
      <c r="N15" s="335">
        <f t="shared" si="3"/>
        <v>0</v>
      </c>
    </row>
    <row r="16" spans="1:15" ht="12.75" customHeight="1" x14ac:dyDescent="0.25">
      <c r="A16" s="334" t="s">
        <v>263</v>
      </c>
      <c r="B16" s="462">
        <v>10</v>
      </c>
      <c r="D16" s="462">
        <v>10</v>
      </c>
      <c r="E16" s="462">
        <v>10</v>
      </c>
      <c r="F16" s="359"/>
      <c r="G16" s="345">
        <f t="shared" si="4"/>
        <v>0</v>
      </c>
      <c r="H16" s="345">
        <f t="shared" si="5"/>
        <v>0</v>
      </c>
      <c r="I16" s="345"/>
      <c r="J16" s="462">
        <v>10</v>
      </c>
      <c r="K16" s="462">
        <v>10</v>
      </c>
      <c r="L16" s="358"/>
      <c r="M16" s="345">
        <f t="shared" ref="M16" si="8">K16-J16</f>
        <v>0</v>
      </c>
      <c r="N16" s="335">
        <f t="shared" ref="N16" si="9">K16-E16</f>
        <v>0</v>
      </c>
    </row>
    <row r="17" spans="1:14" ht="12.75" customHeight="1" x14ac:dyDescent="0.25">
      <c r="A17" s="334" t="s">
        <v>424</v>
      </c>
      <c r="B17" s="462">
        <v>29</v>
      </c>
      <c r="D17" s="462">
        <v>44</v>
      </c>
      <c r="E17" s="462">
        <v>44</v>
      </c>
      <c r="F17" s="359"/>
      <c r="G17" s="345">
        <f t="shared" si="0"/>
        <v>0</v>
      </c>
      <c r="H17" s="345">
        <f t="shared" si="1"/>
        <v>15</v>
      </c>
      <c r="I17" s="345"/>
      <c r="J17" s="462">
        <v>24</v>
      </c>
      <c r="K17" s="462">
        <v>20</v>
      </c>
      <c r="L17" s="358"/>
      <c r="M17" s="345">
        <f t="shared" ref="M17" si="10">K17-J17</f>
        <v>-4</v>
      </c>
      <c r="N17" s="335">
        <f t="shared" ref="N17" si="11">K17-E17</f>
        <v>-24</v>
      </c>
    </row>
    <row r="18" spans="1:14" ht="12.75" customHeight="1" x14ac:dyDescent="0.25">
      <c r="A18" s="334" t="s">
        <v>264</v>
      </c>
      <c r="B18" s="462">
        <v>20</v>
      </c>
      <c r="D18" s="462">
        <v>20</v>
      </c>
      <c r="E18" s="462">
        <v>20</v>
      </c>
      <c r="F18" s="359"/>
      <c r="G18" s="345">
        <f t="shared" si="0"/>
        <v>0</v>
      </c>
      <c r="H18" s="345">
        <f t="shared" si="1"/>
        <v>0</v>
      </c>
      <c r="I18" s="345"/>
      <c r="J18" s="462">
        <v>20</v>
      </c>
      <c r="K18" s="462">
        <v>20</v>
      </c>
      <c r="L18" s="358"/>
      <c r="M18" s="345">
        <f t="shared" si="2"/>
        <v>0</v>
      </c>
      <c r="N18" s="335">
        <f t="shared" si="3"/>
        <v>0</v>
      </c>
    </row>
    <row r="19" spans="1:14" ht="12.75" customHeight="1" x14ac:dyDescent="0.25">
      <c r="A19" s="334" t="s">
        <v>265</v>
      </c>
      <c r="B19" s="462">
        <v>294</v>
      </c>
      <c r="D19" s="462">
        <v>319</v>
      </c>
      <c r="E19" s="462">
        <v>319</v>
      </c>
      <c r="F19" s="359"/>
      <c r="G19" s="345">
        <f t="shared" si="0"/>
        <v>0</v>
      </c>
      <c r="H19" s="345">
        <f t="shared" si="1"/>
        <v>25</v>
      </c>
      <c r="I19" s="345"/>
      <c r="J19" s="462">
        <v>315</v>
      </c>
      <c r="K19" s="462">
        <v>315</v>
      </c>
      <c r="L19" s="358"/>
      <c r="M19" s="345">
        <f t="shared" si="2"/>
        <v>0</v>
      </c>
      <c r="N19" s="335">
        <f t="shared" si="3"/>
        <v>-4</v>
      </c>
    </row>
    <row r="20" spans="1:14" ht="12.75" customHeight="1" x14ac:dyDescent="0.25">
      <c r="A20" s="334" t="s">
        <v>267</v>
      </c>
      <c r="B20" s="462">
        <v>100</v>
      </c>
      <c r="D20" s="462">
        <v>100</v>
      </c>
      <c r="E20" s="462">
        <v>100</v>
      </c>
      <c r="F20" s="359"/>
      <c r="G20" s="345">
        <f t="shared" si="0"/>
        <v>0</v>
      </c>
      <c r="H20" s="345">
        <f t="shared" si="1"/>
        <v>0</v>
      </c>
      <c r="I20" s="345"/>
      <c r="J20" s="462">
        <v>100</v>
      </c>
      <c r="K20" s="462">
        <v>100</v>
      </c>
      <c r="L20" s="358"/>
      <c r="M20" s="345">
        <f t="shared" si="2"/>
        <v>0</v>
      </c>
      <c r="N20" s="335">
        <f t="shared" si="3"/>
        <v>0</v>
      </c>
    </row>
    <row r="21" spans="1:14" ht="12.75" customHeight="1" x14ac:dyDescent="0.25">
      <c r="A21" s="334" t="s">
        <v>268</v>
      </c>
      <c r="B21" s="462">
        <v>496</v>
      </c>
      <c r="D21" s="462">
        <v>520</v>
      </c>
      <c r="E21" s="462">
        <v>520</v>
      </c>
      <c r="F21" s="359"/>
      <c r="G21" s="345">
        <f t="shared" si="0"/>
        <v>0</v>
      </c>
      <c r="H21" s="345">
        <f t="shared" si="1"/>
        <v>24</v>
      </c>
      <c r="I21" s="345"/>
      <c r="J21" s="462">
        <v>530</v>
      </c>
      <c r="K21" s="462">
        <v>530</v>
      </c>
      <c r="L21" s="358"/>
      <c r="M21" s="345">
        <f t="shared" si="2"/>
        <v>0</v>
      </c>
      <c r="N21" s="335">
        <f t="shared" si="3"/>
        <v>10</v>
      </c>
    </row>
    <row r="22" spans="1:14" ht="12.75" customHeight="1" x14ac:dyDescent="0.25">
      <c r="A22" s="334" t="s">
        <v>269</v>
      </c>
      <c r="B22" s="336">
        <v>9813</v>
      </c>
      <c r="D22" s="336">
        <v>14560</v>
      </c>
      <c r="E22" s="336">
        <v>14560</v>
      </c>
      <c r="F22" s="359"/>
      <c r="G22" s="345">
        <f t="shared" si="0"/>
        <v>0</v>
      </c>
      <c r="H22" s="345">
        <f t="shared" si="1"/>
        <v>4747</v>
      </c>
      <c r="I22" s="345"/>
      <c r="J22" s="336">
        <v>15500</v>
      </c>
      <c r="K22" s="336">
        <v>15500</v>
      </c>
      <c r="L22" s="358"/>
      <c r="M22" s="345">
        <f t="shared" si="2"/>
        <v>0</v>
      </c>
      <c r="N22" s="335">
        <f t="shared" si="3"/>
        <v>940</v>
      </c>
    </row>
    <row r="23" spans="1:14" ht="12.75" customHeight="1" x14ac:dyDescent="0.25">
      <c r="A23" s="334" t="s">
        <v>273</v>
      </c>
      <c r="B23" s="462">
        <v>67</v>
      </c>
      <c r="D23" s="462">
        <v>40</v>
      </c>
      <c r="E23" s="462">
        <v>40</v>
      </c>
      <c r="F23" s="359"/>
      <c r="G23" s="345">
        <f t="shared" si="0"/>
        <v>0</v>
      </c>
      <c r="H23" s="345">
        <f t="shared" si="1"/>
        <v>-27</v>
      </c>
      <c r="I23" s="345"/>
      <c r="J23" s="462">
        <v>80</v>
      </c>
      <c r="K23" s="462">
        <v>80</v>
      </c>
      <c r="L23" s="358"/>
      <c r="M23" s="345">
        <f t="shared" si="2"/>
        <v>0</v>
      </c>
      <c r="N23" s="335">
        <f t="shared" si="3"/>
        <v>40</v>
      </c>
    </row>
    <row r="24" spans="1:14" ht="12.75" customHeight="1" x14ac:dyDescent="0.25">
      <c r="A24" s="334" t="s">
        <v>310</v>
      </c>
      <c r="B24" s="462">
        <v>88</v>
      </c>
      <c r="D24" s="462">
        <v>99</v>
      </c>
      <c r="E24" s="462">
        <v>99</v>
      </c>
      <c r="F24" s="359"/>
      <c r="G24" s="345">
        <f t="shared" ref="G24" si="12">E24-D24</f>
        <v>0</v>
      </c>
      <c r="H24" s="345">
        <f t="shared" ref="H24" si="13">E24-B24</f>
        <v>11</v>
      </c>
      <c r="I24" s="345"/>
      <c r="J24" s="462">
        <v>90</v>
      </c>
      <c r="K24" s="462">
        <v>90</v>
      </c>
      <c r="L24" s="358"/>
      <c r="M24" s="345">
        <f t="shared" ref="M24" si="14">K24-J24</f>
        <v>0</v>
      </c>
      <c r="N24" s="335">
        <f t="shared" ref="N24" si="15">K24-E24</f>
        <v>-9</v>
      </c>
    </row>
    <row r="25" spans="1:14" ht="12.75" customHeight="1" x14ac:dyDescent="0.25">
      <c r="A25" s="334" t="s">
        <v>399</v>
      </c>
      <c r="B25" s="462">
        <v>53</v>
      </c>
      <c r="D25" s="462">
        <v>55</v>
      </c>
      <c r="E25" s="462">
        <v>55</v>
      </c>
      <c r="F25" s="359"/>
      <c r="G25" s="345">
        <f t="shared" si="0"/>
        <v>0</v>
      </c>
      <c r="H25" s="345">
        <f t="shared" si="1"/>
        <v>2</v>
      </c>
      <c r="I25" s="345"/>
      <c r="J25" s="462">
        <v>55</v>
      </c>
      <c r="K25" s="462">
        <v>55</v>
      </c>
      <c r="L25" s="358"/>
      <c r="M25" s="345">
        <f t="shared" si="2"/>
        <v>0</v>
      </c>
      <c r="N25" s="335">
        <f t="shared" si="3"/>
        <v>0</v>
      </c>
    </row>
    <row r="26" spans="1:14" ht="12.75" customHeight="1" x14ac:dyDescent="0.25">
      <c r="A26" s="334" t="s">
        <v>276</v>
      </c>
      <c r="B26" s="462">
        <v>81</v>
      </c>
      <c r="D26" s="462">
        <v>94</v>
      </c>
      <c r="E26" s="462">
        <v>94</v>
      </c>
      <c r="F26" s="359"/>
      <c r="G26" s="345">
        <f t="shared" si="0"/>
        <v>0</v>
      </c>
      <c r="H26" s="345">
        <f t="shared" si="1"/>
        <v>13</v>
      </c>
      <c r="I26" s="345"/>
      <c r="J26" s="462">
        <v>80</v>
      </c>
      <c r="K26" s="462">
        <v>80</v>
      </c>
      <c r="L26" s="358"/>
      <c r="M26" s="345">
        <f t="shared" si="2"/>
        <v>0</v>
      </c>
      <c r="N26" s="335">
        <f t="shared" si="3"/>
        <v>-14</v>
      </c>
    </row>
    <row r="27" spans="1:14" ht="12.75" customHeight="1" x14ac:dyDescent="0.25">
      <c r="A27" s="334" t="s">
        <v>279</v>
      </c>
      <c r="B27" s="462">
        <v>30</v>
      </c>
      <c r="D27" s="462">
        <v>30</v>
      </c>
      <c r="E27" s="462">
        <v>30</v>
      </c>
      <c r="F27" s="359"/>
      <c r="G27" s="345">
        <f t="shared" si="0"/>
        <v>0</v>
      </c>
      <c r="H27" s="345">
        <f t="shared" ref="H27:H28" si="16">E27-B27</f>
        <v>0</v>
      </c>
      <c r="I27" s="345"/>
      <c r="J27" s="462">
        <v>30</v>
      </c>
      <c r="K27" s="462">
        <v>30</v>
      </c>
      <c r="L27" s="358"/>
      <c r="M27" s="345">
        <f t="shared" si="2"/>
        <v>0</v>
      </c>
      <c r="N27" s="335">
        <f t="shared" ref="N27:N28" si="17">K27-E27</f>
        <v>0</v>
      </c>
    </row>
    <row r="28" spans="1:14" ht="12.75" customHeight="1" x14ac:dyDescent="0.25">
      <c r="A28" s="334" t="s">
        <v>281</v>
      </c>
      <c r="B28" s="462">
        <v>12</v>
      </c>
      <c r="D28" s="462">
        <v>18</v>
      </c>
      <c r="E28" s="462">
        <v>18</v>
      </c>
      <c r="F28" s="359"/>
      <c r="G28" s="345">
        <f t="shared" si="0"/>
        <v>0</v>
      </c>
      <c r="H28" s="345">
        <f t="shared" si="16"/>
        <v>6</v>
      </c>
      <c r="I28" s="345"/>
      <c r="J28" s="462">
        <v>5</v>
      </c>
      <c r="K28" s="462">
        <v>5</v>
      </c>
      <c r="L28" s="358"/>
      <c r="M28" s="345">
        <f t="shared" si="2"/>
        <v>0</v>
      </c>
      <c r="N28" s="335">
        <f t="shared" si="17"/>
        <v>-13</v>
      </c>
    </row>
    <row r="29" spans="1:14" ht="12.75" customHeight="1" x14ac:dyDescent="0.25">
      <c r="A29" s="334" t="s">
        <v>285</v>
      </c>
      <c r="B29" s="336">
        <v>4550</v>
      </c>
      <c r="D29" s="336">
        <v>3900</v>
      </c>
      <c r="E29" s="336">
        <v>3934</v>
      </c>
      <c r="F29" s="359"/>
      <c r="G29" s="345">
        <f t="shared" si="0"/>
        <v>34</v>
      </c>
      <c r="H29" s="345">
        <f t="shared" si="1"/>
        <v>-616</v>
      </c>
      <c r="I29" s="345"/>
      <c r="J29" s="336">
        <v>4000</v>
      </c>
      <c r="K29" s="336">
        <v>4000</v>
      </c>
      <c r="L29" s="358"/>
      <c r="M29" s="345">
        <f t="shared" si="2"/>
        <v>0</v>
      </c>
      <c r="N29" s="335">
        <f t="shared" si="3"/>
        <v>66</v>
      </c>
    </row>
    <row r="30" spans="1:14" ht="12.75" customHeight="1" x14ac:dyDescent="0.25">
      <c r="A30" s="334" t="s">
        <v>286</v>
      </c>
      <c r="B30" s="462">
        <v>689</v>
      </c>
      <c r="D30" s="462">
        <v>803</v>
      </c>
      <c r="E30" s="462">
        <v>803</v>
      </c>
      <c r="F30" s="359"/>
      <c r="G30" s="345">
        <f t="shared" si="0"/>
        <v>0</v>
      </c>
      <c r="H30" s="345">
        <f t="shared" si="1"/>
        <v>114</v>
      </c>
      <c r="I30" s="345"/>
      <c r="J30" s="462">
        <v>620</v>
      </c>
      <c r="K30" s="462">
        <v>620</v>
      </c>
      <c r="L30" s="358"/>
      <c r="M30" s="345">
        <f t="shared" si="2"/>
        <v>0</v>
      </c>
      <c r="N30" s="335">
        <f t="shared" si="3"/>
        <v>-183</v>
      </c>
    </row>
    <row r="31" spans="1:14" ht="12.75" customHeight="1" x14ac:dyDescent="0.25">
      <c r="A31" s="334" t="s">
        <v>287</v>
      </c>
      <c r="B31" s="462">
        <v>105</v>
      </c>
      <c r="D31" s="462">
        <v>100</v>
      </c>
      <c r="E31" s="462">
        <v>75</v>
      </c>
      <c r="F31" s="359"/>
      <c r="G31" s="345">
        <f t="shared" si="0"/>
        <v>-25</v>
      </c>
      <c r="H31" s="345">
        <f t="shared" si="1"/>
        <v>-30</v>
      </c>
      <c r="I31" s="345"/>
      <c r="J31" s="462">
        <v>50</v>
      </c>
      <c r="K31" s="462">
        <v>80</v>
      </c>
      <c r="L31" s="358"/>
      <c r="M31" s="345">
        <f t="shared" si="2"/>
        <v>30</v>
      </c>
      <c r="N31" s="335">
        <f t="shared" si="3"/>
        <v>5</v>
      </c>
    </row>
    <row r="32" spans="1:14" ht="12.75" customHeight="1" x14ac:dyDescent="0.25">
      <c r="A32" s="334" t="s">
        <v>289</v>
      </c>
      <c r="B32" s="462">
        <v>153</v>
      </c>
      <c r="D32" s="462">
        <v>127</v>
      </c>
      <c r="E32" s="462">
        <v>127</v>
      </c>
      <c r="F32" s="359"/>
      <c r="G32" s="345">
        <f t="shared" si="0"/>
        <v>0</v>
      </c>
      <c r="H32" s="345">
        <f t="shared" si="1"/>
        <v>-26</v>
      </c>
      <c r="I32" s="345"/>
      <c r="J32" s="462">
        <v>140</v>
      </c>
      <c r="K32" s="462">
        <v>140</v>
      </c>
      <c r="L32" s="358"/>
      <c r="M32" s="345">
        <f t="shared" si="2"/>
        <v>0</v>
      </c>
      <c r="N32" s="335">
        <f t="shared" si="3"/>
        <v>13</v>
      </c>
    </row>
    <row r="33" spans="1:15" ht="12.75" customHeight="1" x14ac:dyDescent="0.25">
      <c r="A33" s="334" t="s">
        <v>309</v>
      </c>
      <c r="B33" s="462">
        <v>10</v>
      </c>
      <c r="D33" s="462">
        <v>10</v>
      </c>
      <c r="E33" s="462">
        <v>10</v>
      </c>
      <c r="F33" s="359"/>
      <c r="G33" s="345">
        <f t="shared" si="0"/>
        <v>0</v>
      </c>
      <c r="H33" s="345">
        <f t="shared" si="1"/>
        <v>0</v>
      </c>
      <c r="I33" s="345"/>
      <c r="J33" s="462">
        <v>10</v>
      </c>
      <c r="K33" s="462">
        <v>10</v>
      </c>
      <c r="L33" s="358"/>
      <c r="M33" s="345">
        <f t="shared" si="2"/>
        <v>0</v>
      </c>
      <c r="N33" s="335">
        <f t="shared" si="3"/>
        <v>0</v>
      </c>
    </row>
    <row r="34" spans="1:15" ht="12.75" customHeight="1" x14ac:dyDescent="0.25">
      <c r="A34" s="334" t="s">
        <v>308</v>
      </c>
      <c r="B34" s="462">
        <v>111</v>
      </c>
      <c r="D34" s="462">
        <v>120</v>
      </c>
      <c r="E34" s="462">
        <v>120</v>
      </c>
      <c r="F34" s="359"/>
      <c r="G34" s="345">
        <f t="shared" si="0"/>
        <v>0</v>
      </c>
      <c r="H34" s="345">
        <f t="shared" si="1"/>
        <v>9</v>
      </c>
      <c r="I34" s="345"/>
      <c r="J34" s="462">
        <v>125</v>
      </c>
      <c r="K34" s="462">
        <v>125</v>
      </c>
      <c r="L34" s="358"/>
      <c r="M34" s="345">
        <f t="shared" si="2"/>
        <v>0</v>
      </c>
      <c r="N34" s="335">
        <f t="shared" si="3"/>
        <v>5</v>
      </c>
    </row>
    <row r="35" spans="1:15" ht="12.75" customHeight="1" x14ac:dyDescent="0.25">
      <c r="A35" s="334" t="s">
        <v>307</v>
      </c>
      <c r="B35" s="462">
        <v>100</v>
      </c>
      <c r="D35" s="462">
        <v>100</v>
      </c>
      <c r="E35" s="462">
        <v>100</v>
      </c>
      <c r="F35" s="359"/>
      <c r="G35" s="345">
        <f t="shared" si="0"/>
        <v>0</v>
      </c>
      <c r="H35" s="345">
        <f t="shared" si="1"/>
        <v>0</v>
      </c>
      <c r="I35" s="345"/>
      <c r="J35" s="462">
        <v>105</v>
      </c>
      <c r="K35" s="462">
        <v>105</v>
      </c>
      <c r="L35" s="358"/>
      <c r="M35" s="345">
        <f t="shared" si="2"/>
        <v>0</v>
      </c>
      <c r="N35" s="335">
        <f t="shared" si="3"/>
        <v>5</v>
      </c>
    </row>
    <row r="36" spans="1:15" ht="12.75" customHeight="1" x14ac:dyDescent="0.25">
      <c r="A36" s="334" t="s">
        <v>292</v>
      </c>
      <c r="B36" s="462">
        <v>91</v>
      </c>
      <c r="D36" s="462">
        <v>224</v>
      </c>
      <c r="E36" s="462">
        <v>224</v>
      </c>
      <c r="F36" s="359"/>
      <c r="G36" s="345">
        <f t="shared" si="0"/>
        <v>0</v>
      </c>
      <c r="H36" s="345">
        <f t="shared" ref="H36:H37" si="18">E36-B36</f>
        <v>133</v>
      </c>
      <c r="I36" s="345"/>
      <c r="J36" s="462">
        <v>90</v>
      </c>
      <c r="K36" s="462">
        <v>90</v>
      </c>
      <c r="L36" s="358"/>
      <c r="M36" s="345">
        <f t="shared" si="2"/>
        <v>0</v>
      </c>
      <c r="N36" s="335">
        <f t="shared" ref="N36:N37" si="19">K36-E36</f>
        <v>-134</v>
      </c>
    </row>
    <row r="37" spans="1:15" ht="12.75" customHeight="1" x14ac:dyDescent="0.25">
      <c r="A37" s="334" t="s">
        <v>293</v>
      </c>
      <c r="B37" s="462">
        <v>30</v>
      </c>
      <c r="D37" s="462">
        <v>30</v>
      </c>
      <c r="E37" s="462">
        <v>30</v>
      </c>
      <c r="F37" s="359"/>
      <c r="G37" s="345">
        <f t="shared" si="0"/>
        <v>0</v>
      </c>
      <c r="H37" s="345">
        <f t="shared" si="18"/>
        <v>0</v>
      </c>
      <c r="I37" s="345"/>
      <c r="J37" s="462">
        <v>30</v>
      </c>
      <c r="K37" s="462">
        <v>30</v>
      </c>
      <c r="L37" s="358"/>
      <c r="M37" s="345">
        <f t="shared" si="2"/>
        <v>0</v>
      </c>
      <c r="N37" s="335">
        <f t="shared" si="19"/>
        <v>0</v>
      </c>
    </row>
    <row r="38" spans="1:15" ht="12.75" customHeight="1" x14ac:dyDescent="0.25">
      <c r="A38" s="334" t="s">
        <v>294</v>
      </c>
      <c r="B38" s="336">
        <v>7562</v>
      </c>
      <c r="D38" s="455">
        <v>5706</v>
      </c>
      <c r="E38" s="455">
        <v>5706</v>
      </c>
      <c r="F38" s="359"/>
      <c r="G38" s="345">
        <f t="shared" si="0"/>
        <v>0</v>
      </c>
      <c r="H38" s="345">
        <f t="shared" si="1"/>
        <v>-1856</v>
      </c>
      <c r="I38" s="345"/>
      <c r="J38" s="455">
        <v>6100</v>
      </c>
      <c r="K38" s="455">
        <v>6200</v>
      </c>
      <c r="L38" s="358"/>
      <c r="M38" s="345">
        <f t="shared" si="2"/>
        <v>100</v>
      </c>
      <c r="N38" s="335">
        <f t="shared" si="3"/>
        <v>494</v>
      </c>
    </row>
    <row r="39" spans="1:15" ht="12.75" customHeight="1" x14ac:dyDescent="0.25">
      <c r="A39" s="334" t="s">
        <v>295</v>
      </c>
      <c r="B39" s="462">
        <v>202</v>
      </c>
      <c r="D39" s="462">
        <v>225</v>
      </c>
      <c r="E39" s="462">
        <v>234</v>
      </c>
      <c r="F39" s="359"/>
      <c r="G39" s="345">
        <f t="shared" si="0"/>
        <v>9</v>
      </c>
      <c r="H39" s="345">
        <f t="shared" si="1"/>
        <v>32</v>
      </c>
      <c r="I39" s="345"/>
      <c r="J39" s="462">
        <v>200</v>
      </c>
      <c r="K39" s="462">
        <v>200</v>
      </c>
      <c r="L39" s="358"/>
      <c r="M39" s="345">
        <f t="shared" si="2"/>
        <v>0</v>
      </c>
      <c r="N39" s="335">
        <f t="shared" si="3"/>
        <v>-34</v>
      </c>
    </row>
    <row r="40" spans="1:15" ht="12.75" customHeight="1" x14ac:dyDescent="0.25">
      <c r="A40" s="334" t="s">
        <v>297</v>
      </c>
      <c r="B40" s="336">
        <v>3138</v>
      </c>
      <c r="D40" s="336">
        <v>2865</v>
      </c>
      <c r="E40" s="336">
        <v>2865</v>
      </c>
      <c r="F40" s="359"/>
      <c r="G40" s="345">
        <f t="shared" si="0"/>
        <v>0</v>
      </c>
      <c r="H40" s="345">
        <f t="shared" si="1"/>
        <v>-273</v>
      </c>
      <c r="I40" s="345"/>
      <c r="J40" s="336">
        <v>3050</v>
      </c>
      <c r="K40" s="336">
        <v>3000</v>
      </c>
      <c r="L40" s="358"/>
      <c r="M40" s="345">
        <f t="shared" si="2"/>
        <v>-50</v>
      </c>
      <c r="N40" s="335">
        <f t="shared" si="3"/>
        <v>135</v>
      </c>
    </row>
    <row r="41" spans="1:15" ht="12.75" customHeight="1" x14ac:dyDescent="0.25">
      <c r="A41" s="334" t="s">
        <v>298</v>
      </c>
      <c r="B41" s="462">
        <v>809</v>
      </c>
      <c r="D41" s="462">
        <v>960</v>
      </c>
      <c r="E41" s="462">
        <v>967</v>
      </c>
      <c r="F41" s="359"/>
      <c r="G41" s="345">
        <f t="shared" si="0"/>
        <v>7</v>
      </c>
      <c r="H41" s="345">
        <f t="shared" si="1"/>
        <v>158</v>
      </c>
      <c r="I41" s="345"/>
      <c r="J41" s="462">
        <v>820</v>
      </c>
      <c r="K41" s="462">
        <v>780</v>
      </c>
      <c r="L41" s="358"/>
      <c r="M41" s="345">
        <f t="shared" si="2"/>
        <v>-40</v>
      </c>
      <c r="N41" s="335">
        <f t="shared" si="3"/>
        <v>-187</v>
      </c>
    </row>
    <row r="42" spans="1:15" s="429" customFormat="1" ht="12.75" customHeight="1" x14ac:dyDescent="0.25">
      <c r="A42" s="423" t="s">
        <v>300</v>
      </c>
      <c r="B42" s="336">
        <v>6581</v>
      </c>
      <c r="C42" s="424"/>
      <c r="D42" s="336">
        <v>6167</v>
      </c>
      <c r="E42" s="336">
        <v>6167</v>
      </c>
      <c r="F42" s="425"/>
      <c r="G42" s="454">
        <f t="shared" si="0"/>
        <v>0</v>
      </c>
      <c r="H42" s="426">
        <f t="shared" si="1"/>
        <v>-414</v>
      </c>
      <c r="I42" s="426"/>
      <c r="J42" s="336">
        <v>6400</v>
      </c>
      <c r="K42" s="336">
        <v>6400</v>
      </c>
      <c r="L42" s="427"/>
      <c r="M42" s="345">
        <f t="shared" si="2"/>
        <v>0</v>
      </c>
      <c r="N42" s="422">
        <f t="shared" si="3"/>
        <v>233</v>
      </c>
      <c r="O42" s="428"/>
    </row>
    <row r="43" spans="1:15" s="429" customFormat="1" ht="12.75" customHeight="1" x14ac:dyDescent="0.25">
      <c r="A43" s="423" t="s">
        <v>301</v>
      </c>
      <c r="B43" s="425">
        <f>SUM(B7:B42)</f>
        <v>43583</v>
      </c>
      <c r="C43" s="424"/>
      <c r="D43" s="425">
        <f>SUM(D7:D42)</f>
        <v>44885</v>
      </c>
      <c r="E43" s="425">
        <f>SUM(E7:E42)</f>
        <v>44910</v>
      </c>
      <c r="F43" s="425"/>
      <c r="G43" s="425">
        <f>SUM(G7:G42)</f>
        <v>25</v>
      </c>
      <c r="H43" s="425">
        <f>SUM(H7:H42)</f>
        <v>1327</v>
      </c>
      <c r="I43" s="425"/>
      <c r="J43" s="425">
        <f>SUM(J7:J42)</f>
        <v>46089</v>
      </c>
      <c r="K43" s="425">
        <f>SUM(K7:K42)</f>
        <v>45925</v>
      </c>
      <c r="L43" s="427"/>
      <c r="M43" s="345">
        <f t="shared" si="2"/>
        <v>-164</v>
      </c>
      <c r="N43" s="422">
        <f t="shared" si="3"/>
        <v>1015</v>
      </c>
      <c r="O43" s="428"/>
    </row>
    <row r="44" spans="1:15" s="429" customFormat="1" ht="12.75" customHeight="1" x14ac:dyDescent="0.25">
      <c r="A44" s="423" t="s">
        <v>306</v>
      </c>
      <c r="B44" s="431">
        <f t="shared" ref="B44" si="20">B46-B43</f>
        <v>55</v>
      </c>
      <c r="C44" s="424"/>
      <c r="D44" s="431">
        <f t="shared" ref="D44:E44" si="21">D46-D43</f>
        <v>56</v>
      </c>
      <c r="E44" s="431">
        <f t="shared" si="21"/>
        <v>56</v>
      </c>
      <c r="F44" s="430"/>
      <c r="G44" s="431">
        <f t="shared" ref="G44:H44" si="22">G46-G43</f>
        <v>0</v>
      </c>
      <c r="H44" s="431">
        <f t="shared" si="22"/>
        <v>1</v>
      </c>
      <c r="I44" s="431"/>
      <c r="J44" s="431">
        <f t="shared" ref="J44:K44" si="23">J46-J43</f>
        <v>50</v>
      </c>
      <c r="K44" s="431">
        <f t="shared" si="23"/>
        <v>50</v>
      </c>
      <c r="L44" s="432"/>
      <c r="M44" s="345">
        <f t="shared" si="2"/>
        <v>0</v>
      </c>
      <c r="N44" s="422">
        <f t="shared" si="3"/>
        <v>-6</v>
      </c>
      <c r="O44" s="428"/>
    </row>
    <row r="45" spans="1:15" s="429" customFormat="1" ht="8.4" customHeight="1" x14ac:dyDescent="0.25">
      <c r="A45" s="423"/>
      <c r="B45" s="430"/>
      <c r="C45" s="424"/>
      <c r="D45" s="430"/>
      <c r="E45" s="430"/>
      <c r="F45" s="430"/>
      <c r="G45" s="430"/>
      <c r="H45" s="426"/>
      <c r="I45" s="430"/>
      <c r="J45" s="430"/>
      <c r="K45" s="430"/>
      <c r="L45" s="432"/>
      <c r="M45" s="345"/>
      <c r="N45" s="432"/>
      <c r="O45" s="428"/>
    </row>
    <row r="46" spans="1:15" s="429" customFormat="1" ht="12.75" customHeight="1" x14ac:dyDescent="0.25">
      <c r="A46" s="433" t="s">
        <v>303</v>
      </c>
      <c r="B46" s="425">
        <v>43638</v>
      </c>
      <c r="C46" s="424"/>
      <c r="D46" s="425">
        <v>44941</v>
      </c>
      <c r="E46" s="425">
        <v>44966</v>
      </c>
      <c r="F46" s="425"/>
      <c r="G46" s="426">
        <f>E46-D46</f>
        <v>25</v>
      </c>
      <c r="H46" s="426">
        <f>E46-B46</f>
        <v>1328</v>
      </c>
      <c r="I46" s="426"/>
      <c r="J46" s="425">
        <v>46139</v>
      </c>
      <c r="K46" s="425">
        <v>45975</v>
      </c>
      <c r="L46" s="427"/>
      <c r="M46" s="345">
        <f t="shared" si="2"/>
        <v>-164</v>
      </c>
      <c r="N46" s="422">
        <f>K46-E46</f>
        <v>1009</v>
      </c>
      <c r="O46" s="434"/>
    </row>
    <row r="47" spans="1:15" s="429" customFormat="1" ht="12.75" customHeight="1" x14ac:dyDescent="0.25">
      <c r="A47" s="423"/>
      <c r="B47" s="425"/>
      <c r="C47" s="424"/>
      <c r="D47" s="425"/>
      <c r="E47" s="425"/>
      <c r="F47" s="425"/>
      <c r="G47" s="426"/>
      <c r="H47" s="426"/>
      <c r="I47" s="426"/>
      <c r="J47" s="425"/>
      <c r="K47" s="425"/>
      <c r="L47" s="427"/>
      <c r="M47" s="466"/>
      <c r="N47" s="422"/>
      <c r="O47" s="428"/>
    </row>
    <row r="48" spans="1:15" s="429" customFormat="1" ht="12.75" customHeight="1" x14ac:dyDescent="0.25">
      <c r="A48" s="423" t="s">
        <v>305</v>
      </c>
      <c r="B48" s="435">
        <f>B40/B46</f>
        <v>7.1909803382373155E-2</v>
      </c>
      <c r="C48" s="424"/>
      <c r="D48" s="435">
        <f>D40/D46</f>
        <v>6.3750250328208094E-2</v>
      </c>
      <c r="E48" s="435">
        <f>E40/E46</f>
        <v>6.3714806742872387E-2</v>
      </c>
      <c r="F48" s="435"/>
      <c r="G48" s="436" t="s">
        <v>45</v>
      </c>
      <c r="H48" s="436" t="s">
        <v>45</v>
      </c>
      <c r="I48" s="426"/>
      <c r="J48" s="435">
        <f>J40/J46</f>
        <v>6.6104596978694807E-2</v>
      </c>
      <c r="K48" s="435">
        <f>K40/K46</f>
        <v>6.5252854812398037E-2</v>
      </c>
      <c r="L48" s="437"/>
      <c r="M48" s="345"/>
      <c r="N48" s="438" t="s">
        <v>45</v>
      </c>
      <c r="O48" s="428"/>
    </row>
    <row r="49" spans="1:14" ht="12.75" customHeight="1" x14ac:dyDescent="0.25">
      <c r="A49" s="342"/>
      <c r="B49" s="370"/>
      <c r="C49" s="371"/>
      <c r="D49" s="370"/>
      <c r="E49" s="370"/>
      <c r="F49" s="370"/>
      <c r="G49" s="343"/>
      <c r="H49" s="343"/>
      <c r="I49" s="343"/>
      <c r="J49" s="370"/>
      <c r="K49" s="370"/>
      <c r="L49" s="369"/>
      <c r="M49" s="344"/>
      <c r="N49" s="344"/>
    </row>
    <row r="50" spans="1:14" ht="14.25" customHeight="1" x14ac:dyDescent="0.25">
      <c r="A50" s="368" t="s">
        <v>430</v>
      </c>
      <c r="B50" s="364"/>
      <c r="D50" s="364"/>
      <c r="E50" s="364"/>
      <c r="F50" s="364"/>
      <c r="G50" s="345"/>
      <c r="H50" s="345"/>
      <c r="I50" s="345"/>
      <c r="J50" s="364"/>
      <c r="K50" s="364"/>
      <c r="L50" s="363"/>
      <c r="M50" s="362"/>
      <c r="N50" s="362"/>
    </row>
    <row r="51" spans="1:14" ht="12" customHeight="1" x14ac:dyDescent="0.25">
      <c r="A51" s="368" t="s">
        <v>304</v>
      </c>
      <c r="B51" s="367"/>
      <c r="D51" s="367"/>
      <c r="E51" s="367"/>
      <c r="F51" s="364"/>
      <c r="G51" s="345"/>
      <c r="H51" s="345"/>
      <c r="I51" s="345"/>
      <c r="J51" s="367"/>
      <c r="K51" s="367"/>
      <c r="L51" s="363"/>
      <c r="M51" s="366"/>
      <c r="N51" s="362"/>
    </row>
    <row r="52" spans="1:14" ht="12" customHeight="1" x14ac:dyDescent="0.3">
      <c r="A52" s="368" t="s">
        <v>433</v>
      </c>
      <c r="B52" s="364"/>
      <c r="D52" s="364"/>
      <c r="E52" s="364"/>
      <c r="F52" s="364"/>
      <c r="G52" s="345"/>
      <c r="H52" s="345"/>
      <c r="I52" s="345"/>
      <c r="J52" s="364"/>
      <c r="K52" s="364"/>
      <c r="L52" s="363"/>
      <c r="M52" s="362"/>
      <c r="N52" s="362"/>
    </row>
    <row r="53" spans="1:14" ht="12" customHeight="1" x14ac:dyDescent="0.3">
      <c r="A53" s="19" t="s">
        <v>438</v>
      </c>
      <c r="B53" s="364"/>
      <c r="D53" s="364"/>
      <c r="E53" s="364"/>
      <c r="F53" s="364"/>
      <c r="G53" s="345"/>
      <c r="H53" s="345"/>
      <c r="I53" s="345"/>
      <c r="J53" s="364"/>
      <c r="K53" s="364"/>
      <c r="L53" s="363"/>
      <c r="M53" s="362"/>
      <c r="N53" s="362"/>
    </row>
    <row r="54" spans="1:14" x14ac:dyDescent="0.25">
      <c r="B54" s="361"/>
      <c r="D54" s="361"/>
      <c r="E54" s="361"/>
      <c r="F54" s="359"/>
      <c r="G54" s="360"/>
      <c r="H54" s="360"/>
      <c r="I54" s="360"/>
      <c r="J54" s="361"/>
      <c r="K54" s="361"/>
      <c r="L54" s="358"/>
      <c r="M54" s="215"/>
      <c r="N54" s="215"/>
    </row>
    <row r="55" spans="1:14" x14ac:dyDescent="0.25">
      <c r="B55" s="359"/>
      <c r="D55" s="359"/>
      <c r="E55" s="359"/>
      <c r="F55" s="359"/>
      <c r="G55" s="360"/>
      <c r="H55" s="360"/>
      <c r="I55" s="360"/>
      <c r="J55" s="359"/>
      <c r="K55" s="359"/>
      <c r="L55" s="358"/>
      <c r="M55" s="215"/>
      <c r="N55" s="215"/>
    </row>
    <row r="56" spans="1:14" x14ac:dyDescent="0.25">
      <c r="B56" s="359"/>
      <c r="D56" s="359"/>
      <c r="E56" s="359"/>
      <c r="F56" s="359"/>
      <c r="G56" s="360"/>
      <c r="H56" s="360"/>
      <c r="I56" s="360"/>
      <c r="J56" s="359"/>
      <c r="K56" s="359"/>
      <c r="L56" s="358"/>
      <c r="M56" s="215"/>
      <c r="N56" s="215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/>
  <dimension ref="A1:AA17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8.6640625" defaultRowHeight="11.5" x14ac:dyDescent="0.25"/>
  <cols>
    <col min="1" max="1" width="19" style="215" customWidth="1"/>
    <col min="2" max="2" width="9.33203125" style="215" customWidth="1"/>
    <col min="3" max="3" width="1.6640625" style="215" customWidth="1"/>
    <col min="4" max="5" width="9.33203125" style="360" customWidth="1"/>
    <col min="6" max="6" width="2.6640625" style="215" customWidth="1"/>
    <col min="7" max="7" width="7.08203125" style="215" customWidth="1"/>
    <col min="8" max="8" width="9.08203125" style="215" customWidth="1"/>
    <col min="9" max="9" width="3" style="215" customWidth="1"/>
    <col min="10" max="10" width="9.33203125" style="360" customWidth="1"/>
    <col min="11" max="11" width="1.9140625" style="360" customWidth="1"/>
    <col min="12" max="12" width="9.33203125" style="360" customWidth="1"/>
    <col min="13" max="13" width="9.33203125" style="215" customWidth="1"/>
    <col min="14" max="14" width="9.08203125" style="215" customWidth="1"/>
    <col min="15" max="21" width="9.6640625" style="215" customWidth="1"/>
    <col min="22" max="22" width="12.6640625" style="215" customWidth="1"/>
    <col min="23" max="16384" width="8.6640625" style="215"/>
  </cols>
  <sheetData>
    <row r="1" spans="1:25" ht="15.75" customHeight="1" x14ac:dyDescent="0.25">
      <c r="A1" s="315" t="s">
        <v>357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V1" s="216"/>
    </row>
    <row r="2" spans="1:25" ht="15" customHeight="1" x14ac:dyDescent="0.25">
      <c r="A2" s="272"/>
      <c r="B2" s="211"/>
      <c r="C2" s="404"/>
      <c r="D2" s="208"/>
      <c r="E2" s="208"/>
      <c r="F2" s="319" t="s">
        <v>361</v>
      </c>
      <c r="G2" s="320"/>
      <c r="H2" s="320"/>
      <c r="I2" s="382"/>
      <c r="J2" s="208"/>
      <c r="K2" s="319" t="s">
        <v>387</v>
      </c>
      <c r="L2" s="208"/>
      <c r="M2" s="320"/>
      <c r="N2" s="320"/>
      <c r="V2" s="220"/>
    </row>
    <row r="3" spans="1:25" ht="12.75" customHeight="1" x14ac:dyDescent="0.25">
      <c r="A3" s="272"/>
      <c r="B3" s="379"/>
      <c r="C3" s="379"/>
      <c r="D3" s="379" t="s">
        <v>73</v>
      </c>
      <c r="E3" s="379" t="s">
        <v>74</v>
      </c>
      <c r="F3" s="272"/>
      <c r="G3" s="322" t="s">
        <v>247</v>
      </c>
      <c r="H3" s="322" t="s">
        <v>248</v>
      </c>
      <c r="I3" s="403"/>
      <c r="J3" s="379" t="s">
        <v>73</v>
      </c>
      <c r="K3" s="379"/>
      <c r="L3" s="379" t="s">
        <v>74</v>
      </c>
      <c r="M3" s="322" t="s">
        <v>247</v>
      </c>
      <c r="N3" s="322" t="s">
        <v>248</v>
      </c>
      <c r="V3" s="220"/>
    </row>
    <row r="4" spans="1:25" s="358" customFormat="1" ht="13.5" customHeight="1" x14ac:dyDescent="0.25">
      <c r="A4" s="325" t="s">
        <v>108</v>
      </c>
      <c r="B4" s="377">
        <v>2019</v>
      </c>
      <c r="C4" s="377"/>
      <c r="D4" s="377">
        <v>2021</v>
      </c>
      <c r="E4" s="377">
        <v>2021</v>
      </c>
      <c r="F4" s="402"/>
      <c r="G4" s="320" t="s">
        <v>249</v>
      </c>
      <c r="H4" s="320" t="s">
        <v>250</v>
      </c>
      <c r="I4" s="327"/>
      <c r="J4" s="377">
        <v>2021</v>
      </c>
      <c r="K4" s="377"/>
      <c r="L4" s="377">
        <v>2021</v>
      </c>
      <c r="M4" s="320" t="s">
        <v>249</v>
      </c>
      <c r="N4" s="320" t="s">
        <v>250</v>
      </c>
      <c r="V4" s="401"/>
      <c r="X4" s="401"/>
      <c r="Y4" s="401"/>
    </row>
    <row r="5" spans="1:25" s="331" customFormat="1" ht="12.75" customHeight="1" x14ac:dyDescent="0.25">
      <c r="A5" s="397"/>
      <c r="B5" s="399"/>
      <c r="C5" s="362"/>
      <c r="D5" s="400"/>
      <c r="E5" s="400"/>
      <c r="H5" s="399" t="s">
        <v>326</v>
      </c>
      <c r="I5" s="362"/>
      <c r="J5" s="400"/>
      <c r="K5" s="400"/>
      <c r="L5" s="400"/>
      <c r="N5" s="362"/>
      <c r="U5" s="395"/>
      <c r="W5" s="394"/>
      <c r="X5" s="394"/>
    </row>
    <row r="6" spans="1:25" s="331" customFormat="1" ht="5.25" customHeight="1" x14ac:dyDescent="0.25">
      <c r="A6" s="397"/>
      <c r="C6" s="362"/>
      <c r="D6" s="360"/>
      <c r="E6" s="360"/>
      <c r="F6" s="362"/>
      <c r="G6" s="362"/>
      <c r="H6" s="362"/>
      <c r="I6" s="362"/>
      <c r="J6" s="360"/>
      <c r="K6" s="360"/>
      <c r="L6" s="360"/>
      <c r="M6" s="362"/>
      <c r="N6" s="362"/>
      <c r="U6" s="395"/>
      <c r="W6" s="394"/>
      <c r="X6" s="394"/>
    </row>
    <row r="7" spans="1:25" s="331" customFormat="1" ht="15" customHeight="1" x14ac:dyDescent="0.25">
      <c r="A7" s="397" t="s">
        <v>252</v>
      </c>
      <c r="B7" s="462">
        <v>220</v>
      </c>
      <c r="C7" s="398"/>
      <c r="D7" s="462">
        <v>327</v>
      </c>
      <c r="E7" s="462">
        <v>327</v>
      </c>
      <c r="F7" s="398"/>
      <c r="G7" s="339">
        <f t="shared" ref="G7:G47" si="0">E7-D7</f>
        <v>0</v>
      </c>
      <c r="H7" s="339">
        <f t="shared" ref="H7:H45" si="1">E7-B7</f>
        <v>107</v>
      </c>
      <c r="I7" s="398"/>
      <c r="J7" s="462">
        <v>320</v>
      </c>
      <c r="K7" s="462"/>
      <c r="L7" s="462">
        <v>320</v>
      </c>
      <c r="M7" s="339">
        <f>L7-J7</f>
        <v>0</v>
      </c>
      <c r="N7" s="339">
        <f t="shared" ref="N7:N45" si="2">L7-E7</f>
        <v>-7</v>
      </c>
      <c r="O7" s="522"/>
      <c r="U7" s="395"/>
      <c r="W7" s="394"/>
      <c r="X7" s="394"/>
    </row>
    <row r="8" spans="1:25" s="331" customFormat="1" ht="15" customHeight="1" x14ac:dyDescent="0.25">
      <c r="A8" s="397" t="s">
        <v>426</v>
      </c>
      <c r="B8" s="462">
        <v>450</v>
      </c>
      <c r="C8" s="398"/>
      <c r="D8" s="462">
        <v>500</v>
      </c>
      <c r="E8" s="462">
        <v>500</v>
      </c>
      <c r="F8" s="398"/>
      <c r="G8" s="339">
        <f t="shared" ref="G8" si="3">E8-D8</f>
        <v>0</v>
      </c>
      <c r="H8" s="339">
        <f t="shared" ref="H8" si="4">E8-B8</f>
        <v>50</v>
      </c>
      <c r="I8" s="398"/>
      <c r="J8" s="462">
        <v>500</v>
      </c>
      <c r="K8" s="462"/>
      <c r="L8" s="462">
        <v>500</v>
      </c>
      <c r="M8" s="339">
        <f t="shared" ref="M8" si="5">L8-J8</f>
        <v>0</v>
      </c>
      <c r="N8" s="396">
        <f t="shared" ref="N8" si="6">L8-E8</f>
        <v>0</v>
      </c>
      <c r="O8" s="522"/>
      <c r="U8" s="395"/>
      <c r="W8" s="394"/>
      <c r="X8" s="394"/>
    </row>
    <row r="9" spans="1:25" s="331" customFormat="1" ht="12.9" customHeight="1" x14ac:dyDescent="0.25">
      <c r="A9" s="397" t="s">
        <v>254</v>
      </c>
      <c r="B9" s="462">
        <v>212</v>
      </c>
      <c r="C9" s="363"/>
      <c r="D9" s="462">
        <v>276</v>
      </c>
      <c r="E9" s="462">
        <v>276</v>
      </c>
      <c r="F9" s="363"/>
      <c r="G9" s="396">
        <f t="shared" si="0"/>
        <v>0</v>
      </c>
      <c r="H9" s="335">
        <f t="shared" si="1"/>
        <v>64</v>
      </c>
      <c r="I9" s="363"/>
      <c r="J9" s="462">
        <v>220</v>
      </c>
      <c r="K9" s="462"/>
      <c r="L9" s="462">
        <v>220</v>
      </c>
      <c r="M9" s="339">
        <f t="shared" ref="M9:M77" si="7">L9-J9</f>
        <v>0</v>
      </c>
      <c r="N9" s="396">
        <f t="shared" si="2"/>
        <v>-56</v>
      </c>
      <c r="O9" s="522"/>
      <c r="U9" s="395"/>
      <c r="W9" s="394"/>
      <c r="X9" s="394"/>
    </row>
    <row r="10" spans="1:25" ht="12.75" customHeight="1" x14ac:dyDescent="0.25">
      <c r="A10" s="391" t="s">
        <v>255</v>
      </c>
      <c r="B10" s="462">
        <v>80</v>
      </c>
      <c r="C10" s="335"/>
      <c r="D10" s="462">
        <v>20</v>
      </c>
      <c r="E10" s="462">
        <v>20</v>
      </c>
      <c r="F10" s="335"/>
      <c r="G10" s="335">
        <f t="shared" si="0"/>
        <v>0</v>
      </c>
      <c r="H10" s="335">
        <f t="shared" si="1"/>
        <v>-60</v>
      </c>
      <c r="I10" s="335"/>
      <c r="J10" s="336">
        <v>1300</v>
      </c>
      <c r="K10" s="462"/>
      <c r="L10" s="336">
        <v>1300</v>
      </c>
      <c r="M10" s="339">
        <f t="shared" si="7"/>
        <v>0</v>
      </c>
      <c r="N10" s="335">
        <f t="shared" si="2"/>
        <v>1280</v>
      </c>
      <c r="O10" s="520"/>
      <c r="U10" s="216"/>
      <c r="W10" s="232"/>
      <c r="X10" s="232"/>
    </row>
    <row r="11" spans="1:25" ht="12.75" customHeight="1" x14ac:dyDescent="0.25">
      <c r="A11" s="391" t="s">
        <v>403</v>
      </c>
      <c r="B11" s="462">
        <v>550</v>
      </c>
      <c r="C11" s="335"/>
      <c r="D11" s="462">
        <v>640</v>
      </c>
      <c r="E11" s="462">
        <v>640</v>
      </c>
      <c r="F11" s="335"/>
      <c r="G11" s="335">
        <f t="shared" ref="G11:G14" si="8">E11-D11</f>
        <v>0</v>
      </c>
      <c r="H11" s="335">
        <f t="shared" ref="H11:H14" si="9">E11-B11</f>
        <v>90</v>
      </c>
      <c r="I11" s="335"/>
      <c r="J11" s="462">
        <v>625</v>
      </c>
      <c r="K11" s="462"/>
      <c r="L11" s="462">
        <v>625</v>
      </c>
      <c r="M11" s="339">
        <f t="shared" ref="M11:M14" si="10">L11-J11</f>
        <v>0</v>
      </c>
      <c r="N11" s="335">
        <f t="shared" ref="N11:N14" si="11">L11-E11</f>
        <v>-15</v>
      </c>
      <c r="O11" s="520"/>
      <c r="U11" s="216"/>
      <c r="W11" s="232"/>
      <c r="X11" s="232"/>
    </row>
    <row r="12" spans="1:25" ht="12.75" customHeight="1" x14ac:dyDescent="0.25">
      <c r="A12" s="391" t="s">
        <v>256</v>
      </c>
      <c r="B12" s="462">
        <v>691</v>
      </c>
      <c r="C12" s="335"/>
      <c r="D12" s="462">
        <f>853+23</f>
        <v>876</v>
      </c>
      <c r="E12" s="462">
        <v>853</v>
      </c>
      <c r="F12" s="335"/>
      <c r="G12" s="335">
        <f t="shared" si="8"/>
        <v>-23</v>
      </c>
      <c r="H12" s="335">
        <f t="shared" si="9"/>
        <v>162</v>
      </c>
      <c r="I12" s="335"/>
      <c r="J12" s="462">
        <v>850</v>
      </c>
      <c r="K12" s="462"/>
      <c r="L12" s="462">
        <v>850</v>
      </c>
      <c r="M12" s="339">
        <f t="shared" si="10"/>
        <v>0</v>
      </c>
      <c r="N12" s="335">
        <f t="shared" si="11"/>
        <v>-3</v>
      </c>
      <c r="O12" s="520"/>
      <c r="U12" s="216"/>
      <c r="W12" s="232"/>
      <c r="X12" s="232"/>
    </row>
    <row r="13" spans="1:25" ht="12.75" customHeight="1" x14ac:dyDescent="0.25">
      <c r="A13" s="391" t="s">
        <v>404</v>
      </c>
      <c r="B13" s="462">
        <v>600</v>
      </c>
      <c r="C13" s="335"/>
      <c r="D13" s="462">
        <v>600</v>
      </c>
      <c r="E13" s="462">
        <v>600</v>
      </c>
      <c r="F13" s="335"/>
      <c r="G13" s="335">
        <f t="shared" si="8"/>
        <v>0</v>
      </c>
      <c r="H13" s="335">
        <f t="shared" si="9"/>
        <v>0</v>
      </c>
      <c r="I13" s="335"/>
      <c r="J13" s="462">
        <v>600</v>
      </c>
      <c r="K13" s="462"/>
      <c r="L13" s="462">
        <v>600</v>
      </c>
      <c r="M13" s="339">
        <f t="shared" si="10"/>
        <v>0</v>
      </c>
      <c r="N13" s="335">
        <f t="shared" si="11"/>
        <v>0</v>
      </c>
      <c r="O13" s="520"/>
      <c r="U13" s="216"/>
      <c r="W13" s="232"/>
      <c r="X13" s="232"/>
    </row>
    <row r="14" spans="1:25" ht="12.75" customHeight="1" x14ac:dyDescent="0.25">
      <c r="A14" s="391" t="s">
        <v>395</v>
      </c>
      <c r="B14" s="462">
        <v>600</v>
      </c>
      <c r="C14" s="335"/>
      <c r="D14" s="462">
        <v>500</v>
      </c>
      <c r="E14" s="462">
        <v>500</v>
      </c>
      <c r="F14" s="335"/>
      <c r="G14" s="335">
        <f t="shared" si="8"/>
        <v>0</v>
      </c>
      <c r="H14" s="335">
        <f t="shared" si="9"/>
        <v>-100</v>
      </c>
      <c r="I14" s="335"/>
      <c r="J14" s="462">
        <v>575</v>
      </c>
      <c r="K14" s="462"/>
      <c r="L14" s="462">
        <v>575</v>
      </c>
      <c r="M14" s="339">
        <f t="shared" si="10"/>
        <v>0</v>
      </c>
      <c r="N14" s="335">
        <f t="shared" si="11"/>
        <v>75</v>
      </c>
      <c r="O14" s="520"/>
      <c r="U14" s="216"/>
      <c r="W14" s="232"/>
      <c r="X14" s="232"/>
    </row>
    <row r="15" spans="1:25" s="230" customFormat="1" ht="12.75" customHeight="1" x14ac:dyDescent="0.25">
      <c r="A15" s="391" t="s">
        <v>325</v>
      </c>
      <c r="B15" s="462">
        <v>421</v>
      </c>
      <c r="C15" s="337"/>
      <c r="D15" s="462">
        <v>477</v>
      </c>
      <c r="E15" s="462">
        <v>477</v>
      </c>
      <c r="F15" s="337"/>
      <c r="G15" s="335">
        <f t="shared" si="0"/>
        <v>0</v>
      </c>
      <c r="H15" s="335">
        <f t="shared" si="1"/>
        <v>56</v>
      </c>
      <c r="I15" s="337"/>
      <c r="J15" s="462">
        <v>430</v>
      </c>
      <c r="K15" s="462"/>
      <c r="L15" s="462">
        <v>430</v>
      </c>
      <c r="M15" s="339">
        <f t="shared" si="7"/>
        <v>0</v>
      </c>
      <c r="N15" s="335">
        <f t="shared" si="2"/>
        <v>-47</v>
      </c>
      <c r="O15" s="521"/>
      <c r="U15" s="225"/>
      <c r="W15" s="259"/>
      <c r="X15" s="259"/>
    </row>
    <row r="16" spans="1:25" ht="12.75" customHeight="1" x14ac:dyDescent="0.25">
      <c r="A16" s="391" t="s">
        <v>259</v>
      </c>
      <c r="B16" s="336">
        <v>2800</v>
      </c>
      <c r="C16" s="335"/>
      <c r="D16" s="336">
        <v>3200</v>
      </c>
      <c r="E16" s="336">
        <v>3200</v>
      </c>
      <c r="F16" s="335"/>
      <c r="G16" s="335">
        <f t="shared" si="0"/>
        <v>0</v>
      </c>
      <c r="H16" s="335">
        <f t="shared" si="1"/>
        <v>400</v>
      </c>
      <c r="I16" s="335"/>
      <c r="J16" s="336">
        <v>2900</v>
      </c>
      <c r="K16" s="336"/>
      <c r="L16" s="336">
        <v>2900</v>
      </c>
      <c r="M16" s="339">
        <f t="shared" si="7"/>
        <v>0</v>
      </c>
      <c r="N16" s="335">
        <f t="shared" si="2"/>
        <v>-300</v>
      </c>
      <c r="O16" s="520"/>
      <c r="U16" s="216"/>
      <c r="W16" s="232"/>
      <c r="X16" s="232"/>
    </row>
    <row r="17" spans="1:24" ht="12.75" customHeight="1" x14ac:dyDescent="0.25">
      <c r="A17" s="391" t="s">
        <v>260</v>
      </c>
      <c r="B17" s="462">
        <v>190</v>
      </c>
      <c r="C17" s="335"/>
      <c r="D17" s="462">
        <v>237</v>
      </c>
      <c r="E17" s="462">
        <v>237</v>
      </c>
      <c r="F17" s="335"/>
      <c r="G17" s="335">
        <f t="shared" si="0"/>
        <v>0</v>
      </c>
      <c r="H17" s="335">
        <f t="shared" si="1"/>
        <v>47</v>
      </c>
      <c r="I17" s="335"/>
      <c r="J17" s="462">
        <v>200</v>
      </c>
      <c r="K17" s="462"/>
      <c r="L17" s="462">
        <v>100</v>
      </c>
      <c r="M17" s="339">
        <f t="shared" si="7"/>
        <v>-100</v>
      </c>
      <c r="N17" s="335">
        <f t="shared" si="2"/>
        <v>-137</v>
      </c>
      <c r="O17" s="520"/>
      <c r="U17" s="216"/>
      <c r="W17" s="232"/>
      <c r="X17" s="232"/>
    </row>
    <row r="18" spans="1:24" ht="12.75" customHeight="1" x14ac:dyDescent="0.25">
      <c r="A18" s="393" t="s">
        <v>261</v>
      </c>
      <c r="B18" s="336">
        <v>1350</v>
      </c>
      <c r="C18" s="335"/>
      <c r="D18" s="336">
        <v>1100</v>
      </c>
      <c r="E18" s="336">
        <v>1100</v>
      </c>
      <c r="F18" s="335"/>
      <c r="G18" s="335">
        <f t="shared" si="0"/>
        <v>0</v>
      </c>
      <c r="H18" s="335">
        <f t="shared" si="1"/>
        <v>-250</v>
      </c>
      <c r="I18" s="335"/>
      <c r="J18" s="336">
        <v>1200</v>
      </c>
      <c r="K18" s="336"/>
      <c r="L18" s="336">
        <v>1200</v>
      </c>
      <c r="M18" s="339">
        <f t="shared" si="7"/>
        <v>0</v>
      </c>
      <c r="N18" s="335">
        <f t="shared" si="2"/>
        <v>100</v>
      </c>
      <c r="O18" s="520"/>
    </row>
    <row r="19" spans="1:24" ht="12.75" customHeight="1" x14ac:dyDescent="0.25">
      <c r="A19" s="393" t="s">
        <v>262</v>
      </c>
      <c r="B19" s="462">
        <v>457</v>
      </c>
      <c r="C19" s="335"/>
      <c r="D19" s="462">
        <v>501</v>
      </c>
      <c r="E19" s="462">
        <v>501</v>
      </c>
      <c r="F19" s="335"/>
      <c r="G19" s="335">
        <f t="shared" si="0"/>
        <v>0</v>
      </c>
      <c r="H19" s="335">
        <f t="shared" si="1"/>
        <v>44</v>
      </c>
      <c r="I19" s="335"/>
      <c r="J19" s="462">
        <v>500</v>
      </c>
      <c r="K19" s="462"/>
      <c r="L19" s="462">
        <v>500</v>
      </c>
      <c r="M19" s="339">
        <f t="shared" si="7"/>
        <v>0</v>
      </c>
      <c r="N19" s="335">
        <f t="shared" si="2"/>
        <v>-1</v>
      </c>
      <c r="O19" s="520"/>
    </row>
    <row r="20" spans="1:24" ht="12.75" customHeight="1" x14ac:dyDescent="0.25">
      <c r="A20" s="393" t="s">
        <v>264</v>
      </c>
      <c r="B20" s="462">
        <v>665</v>
      </c>
      <c r="C20" s="335"/>
      <c r="D20" s="462">
        <v>309</v>
      </c>
      <c r="E20" s="462">
        <v>309</v>
      </c>
      <c r="F20" s="335"/>
      <c r="G20" s="335">
        <f t="shared" si="0"/>
        <v>0</v>
      </c>
      <c r="H20" s="335">
        <f t="shared" si="1"/>
        <v>-356</v>
      </c>
      <c r="I20" s="335"/>
      <c r="J20" s="462">
        <v>250</v>
      </c>
      <c r="K20" s="462"/>
      <c r="L20" s="462">
        <v>250</v>
      </c>
      <c r="M20" s="339">
        <f t="shared" si="7"/>
        <v>0</v>
      </c>
      <c r="N20" s="335">
        <f t="shared" si="2"/>
        <v>-59</v>
      </c>
      <c r="O20" s="520"/>
    </row>
    <row r="21" spans="1:24" ht="12.75" customHeight="1" x14ac:dyDescent="0.25">
      <c r="A21" s="393" t="s">
        <v>389</v>
      </c>
      <c r="B21" s="462">
        <v>520</v>
      </c>
      <c r="C21" s="335"/>
      <c r="D21" s="462">
        <v>560</v>
      </c>
      <c r="E21" s="462">
        <v>560</v>
      </c>
      <c r="F21" s="335"/>
      <c r="G21" s="335">
        <f t="shared" si="0"/>
        <v>0</v>
      </c>
      <c r="H21" s="335">
        <f t="shared" ref="H21" si="12">E21-B21</f>
        <v>40</v>
      </c>
      <c r="I21" s="335"/>
      <c r="J21" s="462">
        <v>580</v>
      </c>
      <c r="K21" s="462"/>
      <c r="L21" s="462">
        <v>580</v>
      </c>
      <c r="M21" s="339">
        <f t="shared" si="7"/>
        <v>0</v>
      </c>
      <c r="N21" s="335">
        <f t="shared" ref="N21" si="13">L21-E21</f>
        <v>20</v>
      </c>
      <c r="O21" s="520"/>
    </row>
    <row r="22" spans="1:24" ht="12.75" customHeight="1" x14ac:dyDescent="0.25">
      <c r="A22" s="393" t="s">
        <v>265</v>
      </c>
      <c r="B22" s="336">
        <v>2159</v>
      </c>
      <c r="C22" s="335"/>
      <c r="D22" s="336">
        <v>2409</v>
      </c>
      <c r="E22" s="336">
        <v>2409</v>
      </c>
      <c r="F22" s="335"/>
      <c r="G22" s="335">
        <f t="shared" si="0"/>
        <v>0</v>
      </c>
      <c r="H22" s="335">
        <f t="shared" si="1"/>
        <v>250</v>
      </c>
      <c r="I22" s="335"/>
      <c r="J22" s="336">
        <v>2450</v>
      </c>
      <c r="K22" s="336"/>
      <c r="L22" s="336">
        <v>2450</v>
      </c>
      <c r="M22" s="339">
        <f t="shared" si="7"/>
        <v>0</v>
      </c>
      <c r="N22" s="335">
        <f t="shared" si="2"/>
        <v>41</v>
      </c>
      <c r="O22" s="520"/>
    </row>
    <row r="23" spans="1:24" ht="12.75" customHeight="1" x14ac:dyDescent="0.25">
      <c r="A23" s="393" t="s">
        <v>422</v>
      </c>
      <c r="B23" s="462">
        <v>170</v>
      </c>
      <c r="C23" s="335"/>
      <c r="D23" s="462">
        <v>225</v>
      </c>
      <c r="E23" s="462">
        <v>225</v>
      </c>
      <c r="F23" s="335"/>
      <c r="G23" s="335">
        <f t="shared" si="0"/>
        <v>0</v>
      </c>
      <c r="H23" s="335">
        <f t="shared" si="1"/>
        <v>55</v>
      </c>
      <c r="I23" s="335"/>
      <c r="J23" s="462">
        <v>250</v>
      </c>
      <c r="K23" s="336"/>
      <c r="L23" s="462">
        <v>250</v>
      </c>
      <c r="M23" s="339">
        <f t="shared" si="7"/>
        <v>0</v>
      </c>
      <c r="N23" s="335">
        <f t="shared" si="2"/>
        <v>25</v>
      </c>
      <c r="O23" s="520"/>
    </row>
    <row r="24" spans="1:24" ht="12.75" customHeight="1" x14ac:dyDescent="0.25">
      <c r="A24" s="393" t="s">
        <v>266</v>
      </c>
      <c r="B24" s="462">
        <v>900</v>
      </c>
      <c r="C24" s="335"/>
      <c r="D24" s="462">
        <v>850</v>
      </c>
      <c r="E24" s="462">
        <v>850</v>
      </c>
      <c r="F24" s="335"/>
      <c r="G24" s="335">
        <f t="shared" si="0"/>
        <v>0</v>
      </c>
      <c r="H24" s="335">
        <f t="shared" si="1"/>
        <v>-50</v>
      </c>
      <c r="I24" s="335"/>
      <c r="J24" s="462">
        <v>950</v>
      </c>
      <c r="K24" s="462"/>
      <c r="L24" s="462">
        <v>950</v>
      </c>
      <c r="M24" s="339">
        <f t="shared" si="7"/>
        <v>0</v>
      </c>
      <c r="N24" s="335">
        <f t="shared" si="2"/>
        <v>100</v>
      </c>
      <c r="O24" s="520"/>
    </row>
    <row r="25" spans="1:24" ht="12.75" customHeight="1" x14ac:dyDescent="0.25">
      <c r="A25" s="393" t="s">
        <v>398</v>
      </c>
      <c r="B25" s="462">
        <v>100</v>
      </c>
      <c r="C25" s="335"/>
      <c r="D25" s="462">
        <v>137</v>
      </c>
      <c r="E25" s="462">
        <v>137</v>
      </c>
      <c r="F25" s="335"/>
      <c r="G25" s="335">
        <f t="shared" si="0"/>
        <v>0</v>
      </c>
      <c r="H25" s="335">
        <f t="shared" si="1"/>
        <v>37</v>
      </c>
      <c r="I25" s="335"/>
      <c r="J25" s="462">
        <v>125</v>
      </c>
      <c r="K25" s="462"/>
      <c r="L25" s="462">
        <v>125</v>
      </c>
      <c r="M25" s="339">
        <f t="shared" si="7"/>
        <v>0</v>
      </c>
      <c r="N25" s="335">
        <f t="shared" si="2"/>
        <v>-12</v>
      </c>
      <c r="O25" s="520"/>
    </row>
    <row r="26" spans="1:24" ht="12.75" customHeight="1" x14ac:dyDescent="0.25">
      <c r="A26" s="393" t="s">
        <v>267</v>
      </c>
      <c r="B26" s="462">
        <v>530</v>
      </c>
      <c r="C26" s="335"/>
      <c r="D26" s="462">
        <v>670</v>
      </c>
      <c r="E26" s="462">
        <v>670</v>
      </c>
      <c r="F26" s="335"/>
      <c r="G26" s="335">
        <f t="shared" si="0"/>
        <v>0</v>
      </c>
      <c r="H26" s="335">
        <f t="shared" si="1"/>
        <v>140</v>
      </c>
      <c r="I26" s="335"/>
      <c r="J26" s="462">
        <v>650</v>
      </c>
      <c r="K26" s="462"/>
      <c r="L26" s="462">
        <v>650</v>
      </c>
      <c r="M26" s="339">
        <f t="shared" si="7"/>
        <v>0</v>
      </c>
      <c r="N26" s="335">
        <f t="shared" si="2"/>
        <v>-20</v>
      </c>
      <c r="O26" s="520"/>
    </row>
    <row r="27" spans="1:24" ht="12.75" customHeight="1" x14ac:dyDescent="0.25">
      <c r="A27" s="393" t="s">
        <v>324</v>
      </c>
      <c r="B27" s="462">
        <v>470</v>
      </c>
      <c r="C27" s="335"/>
      <c r="D27" s="462">
        <v>545</v>
      </c>
      <c r="E27" s="462">
        <v>545</v>
      </c>
      <c r="F27" s="335"/>
      <c r="G27" s="335">
        <f t="shared" si="0"/>
        <v>0</v>
      </c>
      <c r="H27" s="335">
        <f t="shared" si="1"/>
        <v>75</v>
      </c>
      <c r="I27" s="335"/>
      <c r="J27" s="462">
        <v>510</v>
      </c>
      <c r="K27" s="462"/>
      <c r="L27" s="462">
        <v>510</v>
      </c>
      <c r="M27" s="339">
        <f t="shared" si="7"/>
        <v>0</v>
      </c>
      <c r="N27" s="335">
        <f t="shared" si="2"/>
        <v>-35</v>
      </c>
      <c r="O27" s="520"/>
    </row>
    <row r="28" spans="1:24" ht="12.75" customHeight="1" x14ac:dyDescent="0.25">
      <c r="A28" s="393" t="s">
        <v>323</v>
      </c>
      <c r="B28" s="462">
        <v>130</v>
      </c>
      <c r="C28" s="335"/>
      <c r="D28" s="462">
        <v>121</v>
      </c>
      <c r="E28" s="462">
        <v>121</v>
      </c>
      <c r="F28" s="335"/>
      <c r="G28" s="335">
        <f t="shared" si="0"/>
        <v>0</v>
      </c>
      <c r="H28" s="335">
        <f t="shared" si="1"/>
        <v>-9</v>
      </c>
      <c r="I28" s="335"/>
      <c r="J28" s="462">
        <v>150</v>
      </c>
      <c r="K28" s="462"/>
      <c r="L28" s="462">
        <v>150</v>
      </c>
      <c r="M28" s="339">
        <f t="shared" si="7"/>
        <v>0</v>
      </c>
      <c r="N28" s="335">
        <f t="shared" si="2"/>
        <v>29</v>
      </c>
      <c r="O28" s="520"/>
    </row>
    <row r="29" spans="1:24" ht="12.75" customHeight="1" x14ac:dyDescent="0.25">
      <c r="A29" s="393" t="s">
        <v>322</v>
      </c>
      <c r="B29" s="462">
        <v>317</v>
      </c>
      <c r="C29" s="335"/>
      <c r="D29" s="462">
        <v>313</v>
      </c>
      <c r="E29" s="462">
        <v>313</v>
      </c>
      <c r="F29" s="335"/>
      <c r="G29" s="335">
        <f t="shared" si="0"/>
        <v>0</v>
      </c>
      <c r="H29" s="335">
        <f t="shared" si="1"/>
        <v>-4</v>
      </c>
      <c r="I29" s="335"/>
      <c r="J29" s="462">
        <v>330</v>
      </c>
      <c r="K29" s="462"/>
      <c r="L29" s="462">
        <v>330</v>
      </c>
      <c r="M29" s="339">
        <f t="shared" si="7"/>
        <v>0</v>
      </c>
      <c r="N29" s="335">
        <f t="shared" si="2"/>
        <v>17</v>
      </c>
      <c r="O29" s="520"/>
    </row>
    <row r="30" spans="1:24" ht="12.75" customHeight="1" x14ac:dyDescent="0.25">
      <c r="A30" s="393" t="s">
        <v>270</v>
      </c>
      <c r="B30" s="462">
        <v>600</v>
      </c>
      <c r="C30" s="335"/>
      <c r="D30" s="462">
        <v>550</v>
      </c>
      <c r="E30" s="462">
        <v>550</v>
      </c>
      <c r="F30" s="335"/>
      <c r="G30" s="335">
        <f t="shared" si="0"/>
        <v>0</v>
      </c>
      <c r="H30" s="335">
        <f t="shared" si="1"/>
        <v>-50</v>
      </c>
      <c r="I30" s="335"/>
      <c r="J30" s="462">
        <v>500</v>
      </c>
      <c r="K30" s="462"/>
      <c r="L30" s="462">
        <v>700</v>
      </c>
      <c r="M30" s="339">
        <f t="shared" si="7"/>
        <v>200</v>
      </c>
      <c r="N30" s="335">
        <f t="shared" si="2"/>
        <v>150</v>
      </c>
      <c r="O30" s="520"/>
    </row>
    <row r="31" spans="1:24" ht="12.75" customHeight="1" x14ac:dyDescent="0.25">
      <c r="A31" s="393" t="s">
        <v>271</v>
      </c>
      <c r="B31" s="336">
        <v>1400</v>
      </c>
      <c r="C31" s="335"/>
      <c r="D31" s="336">
        <v>1125</v>
      </c>
      <c r="E31" s="336">
        <v>1125</v>
      </c>
      <c r="F31" s="335"/>
      <c r="G31" s="335">
        <f t="shared" si="0"/>
        <v>0</v>
      </c>
      <c r="H31" s="335">
        <f t="shared" si="1"/>
        <v>-275</v>
      </c>
      <c r="I31" s="335"/>
      <c r="J31" s="336">
        <v>1200</v>
      </c>
      <c r="K31" s="336"/>
      <c r="L31" s="336">
        <v>1200</v>
      </c>
      <c r="M31" s="339">
        <f t="shared" si="7"/>
        <v>0</v>
      </c>
      <c r="N31" s="335">
        <f t="shared" si="2"/>
        <v>75</v>
      </c>
      <c r="O31" s="520"/>
    </row>
    <row r="32" spans="1:24" ht="12.75" customHeight="1" x14ac:dyDescent="0.25">
      <c r="A32" s="391" t="s">
        <v>272</v>
      </c>
      <c r="B32" s="336">
        <v>1263</v>
      </c>
      <c r="C32" s="335"/>
      <c r="D32" s="462">
        <v>970</v>
      </c>
      <c r="E32" s="462">
        <v>970</v>
      </c>
      <c r="F32" s="335"/>
      <c r="G32" s="335">
        <f t="shared" si="0"/>
        <v>0</v>
      </c>
      <c r="H32" s="335">
        <f t="shared" si="1"/>
        <v>-293</v>
      </c>
      <c r="I32" s="335"/>
      <c r="J32" s="336">
        <v>1000</v>
      </c>
      <c r="K32" s="336"/>
      <c r="L32" s="336">
        <v>1000</v>
      </c>
      <c r="M32" s="339">
        <f t="shared" si="7"/>
        <v>0</v>
      </c>
      <c r="N32" s="335">
        <f t="shared" si="2"/>
        <v>30</v>
      </c>
      <c r="O32" s="520"/>
    </row>
    <row r="33" spans="1:15" ht="12.75" customHeight="1" x14ac:dyDescent="0.25">
      <c r="A33" s="391" t="s">
        <v>273</v>
      </c>
      <c r="B33" s="462">
        <v>678</v>
      </c>
      <c r="C33" s="335"/>
      <c r="D33" s="462">
        <v>676</v>
      </c>
      <c r="E33" s="462">
        <v>676</v>
      </c>
      <c r="F33" s="335"/>
      <c r="G33" s="335">
        <f t="shared" si="0"/>
        <v>0</v>
      </c>
      <c r="H33" s="335">
        <f t="shared" si="1"/>
        <v>-2</v>
      </c>
      <c r="I33" s="335"/>
      <c r="J33" s="462">
        <v>685</v>
      </c>
      <c r="K33" s="462"/>
      <c r="L33" s="462">
        <v>685</v>
      </c>
      <c r="M33" s="339">
        <f t="shared" si="7"/>
        <v>0</v>
      </c>
      <c r="N33" s="335">
        <f t="shared" si="2"/>
        <v>9</v>
      </c>
      <c r="O33" s="520"/>
    </row>
    <row r="34" spans="1:15" ht="12.75" customHeight="1" x14ac:dyDescent="0.25">
      <c r="A34" s="391" t="s">
        <v>321</v>
      </c>
      <c r="B34" s="462">
        <v>220</v>
      </c>
      <c r="C34" s="335"/>
      <c r="D34" s="462">
        <v>230</v>
      </c>
      <c r="E34" s="462">
        <v>230</v>
      </c>
      <c r="F34" s="335"/>
      <c r="G34" s="335">
        <f t="shared" si="0"/>
        <v>0</v>
      </c>
      <c r="H34" s="335">
        <f t="shared" si="1"/>
        <v>10</v>
      </c>
      <c r="I34" s="335"/>
      <c r="J34" s="462">
        <v>235</v>
      </c>
      <c r="K34" s="462"/>
      <c r="L34" s="462">
        <v>235</v>
      </c>
      <c r="M34" s="339">
        <f t="shared" si="7"/>
        <v>0</v>
      </c>
      <c r="N34" s="335">
        <f t="shared" si="2"/>
        <v>5</v>
      </c>
      <c r="O34" s="520"/>
    </row>
    <row r="35" spans="1:15" ht="12.75" customHeight="1" x14ac:dyDescent="0.25">
      <c r="A35" s="391" t="s">
        <v>332</v>
      </c>
      <c r="B35" s="462">
        <v>610</v>
      </c>
      <c r="C35" s="335"/>
      <c r="D35" s="462">
        <v>600</v>
      </c>
      <c r="E35" s="462">
        <v>600</v>
      </c>
      <c r="F35" s="335"/>
      <c r="G35" s="335">
        <f t="shared" si="0"/>
        <v>0</v>
      </c>
      <c r="H35" s="335">
        <f t="shared" si="1"/>
        <v>-10</v>
      </c>
      <c r="I35" s="335"/>
      <c r="J35" s="462">
        <v>630</v>
      </c>
      <c r="K35" s="462"/>
      <c r="L35" s="462">
        <v>630</v>
      </c>
      <c r="M35" s="339">
        <f t="shared" si="7"/>
        <v>0</v>
      </c>
      <c r="N35" s="335">
        <f t="shared" si="2"/>
        <v>30</v>
      </c>
      <c r="O35" s="520"/>
    </row>
    <row r="36" spans="1:15" ht="12.75" customHeight="1" x14ac:dyDescent="0.25">
      <c r="A36" s="391" t="s">
        <v>274</v>
      </c>
      <c r="B36" s="462">
        <v>200</v>
      </c>
      <c r="C36" s="335"/>
      <c r="D36" s="462">
        <v>32</v>
      </c>
      <c r="E36" s="462">
        <v>32</v>
      </c>
      <c r="F36" s="335"/>
      <c r="G36" s="335">
        <f t="shared" si="0"/>
        <v>0</v>
      </c>
      <c r="H36" s="335">
        <f t="shared" si="1"/>
        <v>-168</v>
      </c>
      <c r="I36" s="335"/>
      <c r="J36" s="462">
        <v>150</v>
      </c>
      <c r="K36" s="462"/>
      <c r="L36" s="462">
        <v>150</v>
      </c>
      <c r="M36" s="339">
        <f t="shared" si="7"/>
        <v>0</v>
      </c>
      <c r="N36" s="335">
        <f t="shared" si="2"/>
        <v>118</v>
      </c>
      <c r="O36" s="520"/>
    </row>
    <row r="37" spans="1:15" ht="12.75" customHeight="1" x14ac:dyDescent="0.25">
      <c r="A37" s="391" t="s">
        <v>275</v>
      </c>
      <c r="B37" s="462">
        <v>297</v>
      </c>
      <c r="C37" s="335"/>
      <c r="D37" s="462">
        <v>465</v>
      </c>
      <c r="E37" s="462">
        <v>465</v>
      </c>
      <c r="F37" s="335"/>
      <c r="G37" s="335">
        <f t="shared" si="0"/>
        <v>0</v>
      </c>
      <c r="H37" s="335">
        <f t="shared" si="1"/>
        <v>168</v>
      </c>
      <c r="I37" s="335"/>
      <c r="J37" s="462">
        <v>450</v>
      </c>
      <c r="K37" s="462"/>
      <c r="L37" s="462">
        <v>450</v>
      </c>
      <c r="M37" s="339">
        <f t="shared" si="7"/>
        <v>0</v>
      </c>
      <c r="N37" s="335">
        <f t="shared" si="2"/>
        <v>-15</v>
      </c>
      <c r="O37" s="520"/>
    </row>
    <row r="38" spans="1:15" ht="12.75" customHeight="1" x14ac:dyDescent="0.25">
      <c r="A38" s="391" t="s">
        <v>276</v>
      </c>
      <c r="B38" s="462">
        <v>200</v>
      </c>
      <c r="C38" s="335"/>
      <c r="D38" s="462">
        <v>57</v>
      </c>
      <c r="E38" s="462">
        <v>57</v>
      </c>
      <c r="F38" s="335"/>
      <c r="G38" s="335">
        <f t="shared" si="0"/>
        <v>0</v>
      </c>
      <c r="H38" s="335">
        <f t="shared" si="1"/>
        <v>-143</v>
      </c>
      <c r="I38" s="335"/>
      <c r="J38" s="462">
        <v>50</v>
      </c>
      <c r="K38" s="462"/>
      <c r="L38" s="462">
        <v>50</v>
      </c>
      <c r="M38" s="339">
        <f t="shared" si="7"/>
        <v>0</v>
      </c>
      <c r="N38" s="335">
        <f t="shared" si="2"/>
        <v>-7</v>
      </c>
      <c r="O38" s="520"/>
    </row>
    <row r="39" spans="1:15" ht="12.75" customHeight="1" x14ac:dyDescent="0.25">
      <c r="A39" s="391" t="s">
        <v>277</v>
      </c>
      <c r="B39" s="462">
        <v>290</v>
      </c>
      <c r="C39" s="335"/>
      <c r="D39" s="462">
        <v>375</v>
      </c>
      <c r="E39" s="462">
        <v>375</v>
      </c>
      <c r="F39" s="335"/>
      <c r="G39" s="335">
        <f t="shared" si="0"/>
        <v>0</v>
      </c>
      <c r="H39" s="335">
        <f t="shared" si="1"/>
        <v>85</v>
      </c>
      <c r="I39" s="335"/>
      <c r="J39" s="462">
        <v>380</v>
      </c>
      <c r="K39" s="462"/>
      <c r="L39" s="462">
        <v>380</v>
      </c>
      <c r="M39" s="339">
        <f t="shared" si="7"/>
        <v>0</v>
      </c>
      <c r="N39" s="335">
        <f t="shared" si="2"/>
        <v>5</v>
      </c>
      <c r="O39" s="520"/>
    </row>
    <row r="40" spans="1:15" ht="12.75" customHeight="1" x14ac:dyDescent="0.25">
      <c r="A40" s="391" t="s">
        <v>320</v>
      </c>
      <c r="B40" s="462">
        <v>190</v>
      </c>
      <c r="C40" s="335"/>
      <c r="D40" s="462">
        <v>70</v>
      </c>
      <c r="E40" s="462">
        <v>70</v>
      </c>
      <c r="F40" s="335"/>
      <c r="G40" s="335">
        <f t="shared" si="0"/>
        <v>0</v>
      </c>
      <c r="H40" s="335">
        <f t="shared" si="1"/>
        <v>-120</v>
      </c>
      <c r="I40" s="335"/>
      <c r="J40" s="462">
        <v>130</v>
      </c>
      <c r="K40" s="462"/>
      <c r="L40" s="462">
        <v>130</v>
      </c>
      <c r="M40" s="339">
        <f t="shared" si="7"/>
        <v>0</v>
      </c>
      <c r="N40" s="335">
        <f t="shared" si="2"/>
        <v>60</v>
      </c>
      <c r="O40" s="520"/>
    </row>
    <row r="41" spans="1:15" ht="12.75" customHeight="1" x14ac:dyDescent="0.25">
      <c r="A41" s="391" t="s">
        <v>278</v>
      </c>
      <c r="B41" s="462">
        <v>440</v>
      </c>
      <c r="C41" s="335"/>
      <c r="D41" s="462">
        <v>450</v>
      </c>
      <c r="E41" s="462">
        <v>450</v>
      </c>
      <c r="F41" s="335"/>
      <c r="G41" s="335">
        <f t="shared" si="0"/>
        <v>0</v>
      </c>
      <c r="H41" s="335">
        <f t="shared" si="1"/>
        <v>10</v>
      </c>
      <c r="I41" s="335"/>
      <c r="J41" s="462">
        <v>470</v>
      </c>
      <c r="K41" s="462"/>
      <c r="L41" s="462">
        <v>470</v>
      </c>
      <c r="M41" s="339">
        <f t="shared" si="7"/>
        <v>0</v>
      </c>
      <c r="N41" s="335">
        <f t="shared" si="2"/>
        <v>20</v>
      </c>
      <c r="O41" s="520"/>
    </row>
    <row r="42" spans="1:15" ht="12.75" customHeight="1" x14ac:dyDescent="0.25">
      <c r="A42" s="391" t="s">
        <v>279</v>
      </c>
      <c r="B42" s="336">
        <v>1000</v>
      </c>
      <c r="C42" s="335"/>
      <c r="D42" s="336">
        <v>1220</v>
      </c>
      <c r="E42" s="336">
        <v>1220</v>
      </c>
      <c r="F42" s="335"/>
      <c r="G42" s="335">
        <f t="shared" si="0"/>
        <v>0</v>
      </c>
      <c r="H42" s="335">
        <f t="shared" si="1"/>
        <v>220</v>
      </c>
      <c r="I42" s="335"/>
      <c r="J42" s="336">
        <v>1100</v>
      </c>
      <c r="K42" s="336"/>
      <c r="L42" s="336">
        <v>1100</v>
      </c>
      <c r="M42" s="339">
        <f t="shared" si="7"/>
        <v>0</v>
      </c>
      <c r="N42" s="335">
        <f t="shared" si="2"/>
        <v>-120</v>
      </c>
      <c r="O42" s="520"/>
    </row>
    <row r="43" spans="1:15" ht="12.75" customHeight="1" x14ac:dyDescent="0.25">
      <c r="A43" s="391" t="s">
        <v>280</v>
      </c>
      <c r="B43" s="462">
        <v>300</v>
      </c>
      <c r="C43" s="335"/>
      <c r="D43" s="462">
        <v>300</v>
      </c>
      <c r="E43" s="462">
        <v>300</v>
      </c>
      <c r="F43" s="335"/>
      <c r="G43" s="335">
        <f t="shared" si="0"/>
        <v>0</v>
      </c>
      <c r="H43" s="335">
        <f t="shared" si="1"/>
        <v>0</v>
      </c>
      <c r="I43" s="335"/>
      <c r="J43" s="462">
        <v>300</v>
      </c>
      <c r="K43" s="336"/>
      <c r="L43" s="462">
        <v>300</v>
      </c>
      <c r="M43" s="339">
        <f t="shared" si="7"/>
        <v>0</v>
      </c>
      <c r="N43" s="335">
        <f t="shared" si="2"/>
        <v>0</v>
      </c>
      <c r="O43" s="520"/>
    </row>
    <row r="44" spans="1:15" ht="12.75" customHeight="1" x14ac:dyDescent="0.25">
      <c r="A44" s="391" t="s">
        <v>281</v>
      </c>
      <c r="B44" s="462">
        <v>740</v>
      </c>
      <c r="C44" s="335"/>
      <c r="D44" s="462">
        <v>843</v>
      </c>
      <c r="E44" s="462">
        <v>843</v>
      </c>
      <c r="F44" s="335"/>
      <c r="G44" s="335">
        <f t="shared" si="0"/>
        <v>0</v>
      </c>
      <c r="H44" s="335">
        <f t="shared" si="1"/>
        <v>103</v>
      </c>
      <c r="I44" s="335"/>
      <c r="J44" s="462">
        <v>800</v>
      </c>
      <c r="K44" s="462"/>
      <c r="L44" s="462">
        <v>800</v>
      </c>
      <c r="M44" s="339">
        <f t="shared" si="7"/>
        <v>0</v>
      </c>
      <c r="N44" s="335">
        <f t="shared" si="2"/>
        <v>-43</v>
      </c>
      <c r="O44" s="520"/>
    </row>
    <row r="45" spans="1:15" ht="12.75" customHeight="1" x14ac:dyDescent="0.25">
      <c r="A45" s="391" t="s">
        <v>282</v>
      </c>
      <c r="B45" s="462">
        <v>635</v>
      </c>
      <c r="C45" s="335"/>
      <c r="D45" s="462">
        <v>655</v>
      </c>
      <c r="E45" s="462">
        <v>655</v>
      </c>
      <c r="F45" s="335"/>
      <c r="G45" s="335">
        <f t="shared" si="0"/>
        <v>0</v>
      </c>
      <c r="H45" s="335">
        <f t="shared" si="1"/>
        <v>20</v>
      </c>
      <c r="I45" s="335"/>
      <c r="J45" s="462">
        <v>650</v>
      </c>
      <c r="K45" s="462"/>
      <c r="L45" s="462">
        <v>650</v>
      </c>
      <c r="M45" s="339">
        <f t="shared" si="7"/>
        <v>0</v>
      </c>
      <c r="N45" s="335">
        <f t="shared" si="2"/>
        <v>-5</v>
      </c>
      <c r="O45" s="520"/>
    </row>
    <row r="46" spans="1:15" ht="12.75" customHeight="1" x14ac:dyDescent="0.25">
      <c r="A46" s="391" t="s">
        <v>283</v>
      </c>
      <c r="B46" s="462">
        <v>620</v>
      </c>
      <c r="C46" s="335"/>
      <c r="D46" s="462">
        <v>975</v>
      </c>
      <c r="E46" s="462">
        <v>975</v>
      </c>
      <c r="F46" s="335"/>
      <c r="G46" s="335">
        <f t="shared" si="0"/>
        <v>0</v>
      </c>
      <c r="H46" s="335">
        <f t="shared" ref="H46:H47" si="14">E46-B46</f>
        <v>355</v>
      </c>
      <c r="I46" s="335"/>
      <c r="J46" s="462">
        <v>900</v>
      </c>
      <c r="K46" s="462"/>
      <c r="L46" s="462">
        <v>900</v>
      </c>
      <c r="M46" s="339">
        <f t="shared" si="7"/>
        <v>0</v>
      </c>
      <c r="N46" s="335">
        <f t="shared" ref="N46:N47" si="15">L46-E46</f>
        <v>-75</v>
      </c>
      <c r="O46" s="520"/>
    </row>
    <row r="47" spans="1:15" ht="12.75" customHeight="1" x14ac:dyDescent="0.25">
      <c r="A47" s="391" t="s">
        <v>396</v>
      </c>
      <c r="B47" s="462">
        <v>103</v>
      </c>
      <c r="C47" s="335"/>
      <c r="D47" s="462">
        <v>104</v>
      </c>
      <c r="E47" s="462">
        <v>104</v>
      </c>
      <c r="F47" s="335"/>
      <c r="G47" s="335">
        <f t="shared" si="0"/>
        <v>0</v>
      </c>
      <c r="H47" s="335">
        <f t="shared" si="14"/>
        <v>1</v>
      </c>
      <c r="I47" s="335"/>
      <c r="J47" s="462">
        <v>100</v>
      </c>
      <c r="K47" s="462"/>
      <c r="L47" s="462">
        <v>100</v>
      </c>
      <c r="M47" s="339">
        <f t="shared" si="7"/>
        <v>0</v>
      </c>
      <c r="N47" s="335">
        <f t="shared" si="15"/>
        <v>-4</v>
      </c>
      <c r="O47" s="520"/>
    </row>
    <row r="48" spans="1:15" ht="12.75" customHeight="1" x14ac:dyDescent="0.25">
      <c r="A48" s="392" t="s">
        <v>319</v>
      </c>
      <c r="B48" s="462">
        <v>360</v>
      </c>
      <c r="C48" s="335"/>
      <c r="D48" s="462">
        <v>380</v>
      </c>
      <c r="E48" s="462">
        <v>380</v>
      </c>
      <c r="F48" s="335"/>
      <c r="G48" s="335">
        <f t="shared" ref="G48:G73" si="16">E48-D48</f>
        <v>0</v>
      </c>
      <c r="H48" s="335">
        <f t="shared" ref="H48:H73" si="17">E48-B48</f>
        <v>20</v>
      </c>
      <c r="I48" s="335"/>
      <c r="J48" s="462">
        <v>400</v>
      </c>
      <c r="K48" s="462"/>
      <c r="L48" s="462">
        <v>400</v>
      </c>
      <c r="M48" s="339">
        <f t="shared" si="7"/>
        <v>0</v>
      </c>
      <c r="N48" s="335">
        <f t="shared" ref="N48:N73" si="18">L48-E48</f>
        <v>20</v>
      </c>
      <c r="O48" s="520"/>
    </row>
    <row r="49" spans="1:15" ht="12.75" customHeight="1" x14ac:dyDescent="0.25">
      <c r="A49" s="391" t="s">
        <v>284</v>
      </c>
      <c r="B49" s="336">
        <v>1800</v>
      </c>
      <c r="C49" s="335"/>
      <c r="D49" s="336">
        <v>1600</v>
      </c>
      <c r="E49" s="336">
        <v>1800</v>
      </c>
      <c r="F49" s="335"/>
      <c r="G49" s="335">
        <f t="shared" si="16"/>
        <v>200</v>
      </c>
      <c r="H49" s="335">
        <f t="shared" si="17"/>
        <v>0</v>
      </c>
      <c r="I49" s="335"/>
      <c r="J49" s="336">
        <v>1800</v>
      </c>
      <c r="K49" s="336"/>
      <c r="L49" s="336">
        <v>1800</v>
      </c>
      <c r="M49" s="339">
        <f t="shared" si="7"/>
        <v>0</v>
      </c>
      <c r="N49" s="335">
        <f t="shared" si="18"/>
        <v>0</v>
      </c>
      <c r="O49" s="520"/>
    </row>
    <row r="50" spans="1:15" ht="12.75" customHeight="1" x14ac:dyDescent="0.25">
      <c r="A50" s="391" t="s">
        <v>408</v>
      </c>
      <c r="B50" s="336">
        <v>230</v>
      </c>
      <c r="C50" s="335"/>
      <c r="D50" s="462">
        <v>220</v>
      </c>
      <c r="E50" s="336">
        <v>250</v>
      </c>
      <c r="F50" s="335"/>
      <c r="G50" s="335">
        <f t="shared" ref="G50" si="19">E50-D50</f>
        <v>30</v>
      </c>
      <c r="H50" s="335">
        <f t="shared" ref="H50" si="20">E50-B50</f>
        <v>20</v>
      </c>
      <c r="I50" s="335"/>
      <c r="J50" s="462">
        <v>220</v>
      </c>
      <c r="K50" s="336"/>
      <c r="L50" s="336">
        <v>250</v>
      </c>
      <c r="M50" s="339">
        <f t="shared" ref="M50" si="21">L50-J50</f>
        <v>30</v>
      </c>
      <c r="N50" s="335">
        <f t="shared" ref="N50" si="22">L50-E50</f>
        <v>0</v>
      </c>
      <c r="O50" s="520"/>
    </row>
    <row r="51" spans="1:15" ht="12.75" customHeight="1" x14ac:dyDescent="0.25">
      <c r="A51" s="391" t="s">
        <v>397</v>
      </c>
      <c r="B51" s="462">
        <v>85</v>
      </c>
      <c r="C51" s="335"/>
      <c r="D51" s="462">
        <v>105</v>
      </c>
      <c r="E51" s="462">
        <v>105</v>
      </c>
      <c r="F51" s="335"/>
      <c r="G51" s="335">
        <f t="shared" si="16"/>
        <v>0</v>
      </c>
      <c r="H51" s="335">
        <f t="shared" si="17"/>
        <v>20</v>
      </c>
      <c r="I51" s="335"/>
      <c r="J51" s="462">
        <v>130</v>
      </c>
      <c r="K51" s="336"/>
      <c r="L51" s="462">
        <v>130</v>
      </c>
      <c r="M51" s="339">
        <f t="shared" si="7"/>
        <v>0</v>
      </c>
      <c r="N51" s="335">
        <f t="shared" si="18"/>
        <v>25</v>
      </c>
      <c r="O51" s="520"/>
    </row>
    <row r="52" spans="1:15" ht="12.75" customHeight="1" x14ac:dyDescent="0.25">
      <c r="A52" s="391" t="s">
        <v>287</v>
      </c>
      <c r="B52" s="462">
        <v>292</v>
      </c>
      <c r="C52" s="335"/>
      <c r="D52" s="462">
        <v>310</v>
      </c>
      <c r="E52" s="462">
        <v>310</v>
      </c>
      <c r="F52" s="335"/>
      <c r="G52" s="335">
        <f t="shared" si="16"/>
        <v>0</v>
      </c>
      <c r="H52" s="335">
        <f t="shared" si="17"/>
        <v>18</v>
      </c>
      <c r="I52" s="335"/>
      <c r="J52" s="462">
        <v>330</v>
      </c>
      <c r="K52" s="336"/>
      <c r="L52" s="462">
        <v>300</v>
      </c>
      <c r="M52" s="339">
        <f t="shared" si="7"/>
        <v>-30</v>
      </c>
      <c r="N52" s="335">
        <f t="shared" si="18"/>
        <v>-10</v>
      </c>
      <c r="O52" s="520"/>
    </row>
    <row r="53" spans="1:15" ht="12.75" customHeight="1" x14ac:dyDescent="0.25">
      <c r="A53" s="391" t="s">
        <v>288</v>
      </c>
      <c r="B53" s="336">
        <v>2900</v>
      </c>
      <c r="C53" s="335"/>
      <c r="D53" s="336">
        <v>2450</v>
      </c>
      <c r="E53" s="336">
        <v>2450</v>
      </c>
      <c r="F53" s="335"/>
      <c r="G53" s="335">
        <f t="shared" si="16"/>
        <v>0</v>
      </c>
      <c r="H53" s="335">
        <f t="shared" si="17"/>
        <v>-450</v>
      </c>
      <c r="I53" s="335"/>
      <c r="J53" s="336">
        <v>2200</v>
      </c>
      <c r="K53" s="336"/>
      <c r="L53" s="336">
        <v>2000</v>
      </c>
      <c r="M53" s="339">
        <f t="shared" si="7"/>
        <v>-200</v>
      </c>
      <c r="N53" s="335">
        <f t="shared" si="18"/>
        <v>-450</v>
      </c>
      <c r="O53" s="520"/>
    </row>
    <row r="54" spans="1:15" ht="12.75" customHeight="1" x14ac:dyDescent="0.25">
      <c r="A54" s="391" t="s">
        <v>409</v>
      </c>
      <c r="B54" s="462">
        <v>180</v>
      </c>
      <c r="C54" s="335"/>
      <c r="D54" s="462">
        <v>210</v>
      </c>
      <c r="E54" s="462">
        <v>210</v>
      </c>
      <c r="F54" s="335"/>
      <c r="G54" s="335">
        <f t="shared" ref="G54" si="23">E54-D54</f>
        <v>0</v>
      </c>
      <c r="H54" s="335">
        <f t="shared" ref="H54" si="24">E54-B54</f>
        <v>30</v>
      </c>
      <c r="I54" s="335"/>
      <c r="J54" s="462">
        <v>210</v>
      </c>
      <c r="K54" s="336"/>
      <c r="L54" s="462">
        <v>210</v>
      </c>
      <c r="M54" s="339">
        <f t="shared" ref="M54" si="25">L54-J54</f>
        <v>0</v>
      </c>
      <c r="N54" s="335">
        <f t="shared" ref="N54" si="26">L54-E54</f>
        <v>0</v>
      </c>
      <c r="O54" s="520"/>
    </row>
    <row r="55" spans="1:15" ht="12.75" customHeight="1" x14ac:dyDescent="0.25">
      <c r="A55" s="391" t="s">
        <v>289</v>
      </c>
      <c r="B55" s="462">
        <v>229</v>
      </c>
      <c r="C55" s="335"/>
      <c r="D55" s="462">
        <v>220</v>
      </c>
      <c r="E55" s="462">
        <v>220</v>
      </c>
      <c r="F55" s="335"/>
      <c r="G55" s="335">
        <f t="shared" si="16"/>
        <v>0</v>
      </c>
      <c r="H55" s="335">
        <f t="shared" si="17"/>
        <v>-9</v>
      </c>
      <c r="I55" s="335"/>
      <c r="J55" s="462">
        <v>200</v>
      </c>
      <c r="K55" s="462"/>
      <c r="L55" s="462">
        <v>200</v>
      </c>
      <c r="M55" s="339">
        <f t="shared" si="7"/>
        <v>0</v>
      </c>
      <c r="N55" s="335">
        <f t="shared" si="18"/>
        <v>-20</v>
      </c>
      <c r="O55" s="520"/>
    </row>
    <row r="56" spans="1:15" ht="12.75" customHeight="1" x14ac:dyDescent="0.25">
      <c r="A56" s="391" t="s">
        <v>318</v>
      </c>
      <c r="B56" s="336">
        <v>1425</v>
      </c>
      <c r="C56" s="335"/>
      <c r="D56" s="336">
        <v>1630</v>
      </c>
      <c r="E56" s="336">
        <v>1613</v>
      </c>
      <c r="F56" s="335"/>
      <c r="G56" s="335">
        <f t="shared" si="16"/>
        <v>-17</v>
      </c>
      <c r="H56" s="335">
        <f t="shared" si="17"/>
        <v>188</v>
      </c>
      <c r="I56" s="335"/>
      <c r="J56" s="336">
        <v>1500</v>
      </c>
      <c r="K56" s="336"/>
      <c r="L56" s="336">
        <v>1500</v>
      </c>
      <c r="M56" s="339">
        <f t="shared" si="7"/>
        <v>0</v>
      </c>
      <c r="N56" s="335">
        <f t="shared" si="18"/>
        <v>-113</v>
      </c>
      <c r="O56" s="520"/>
    </row>
    <row r="57" spans="1:15" ht="12.75" customHeight="1" x14ac:dyDescent="0.25">
      <c r="A57" s="391" t="s">
        <v>309</v>
      </c>
      <c r="B57" s="336">
        <v>1000</v>
      </c>
      <c r="C57" s="335"/>
      <c r="D57" s="336">
        <v>1150</v>
      </c>
      <c r="E57" s="336">
        <v>1150</v>
      </c>
      <c r="F57" s="335"/>
      <c r="G57" s="335">
        <f t="shared" si="16"/>
        <v>0</v>
      </c>
      <c r="H57" s="335">
        <f t="shared" si="17"/>
        <v>150</v>
      </c>
      <c r="I57" s="335"/>
      <c r="J57" s="336">
        <v>1175</v>
      </c>
      <c r="K57" s="336"/>
      <c r="L57" s="336">
        <v>1125</v>
      </c>
      <c r="M57" s="339">
        <f t="shared" si="7"/>
        <v>-50</v>
      </c>
      <c r="N57" s="335">
        <f t="shared" si="18"/>
        <v>-25</v>
      </c>
      <c r="O57" s="520"/>
    </row>
    <row r="58" spans="1:15" ht="12.75" customHeight="1" x14ac:dyDescent="0.25">
      <c r="A58" s="391" t="s">
        <v>290</v>
      </c>
      <c r="B58" s="462">
        <v>330</v>
      </c>
      <c r="C58" s="335"/>
      <c r="D58" s="462">
        <v>440</v>
      </c>
      <c r="E58" s="462">
        <v>440</v>
      </c>
      <c r="F58" s="335"/>
      <c r="G58" s="335">
        <f t="shared" si="16"/>
        <v>0</v>
      </c>
      <c r="H58" s="335">
        <f t="shared" si="17"/>
        <v>110</v>
      </c>
      <c r="I58" s="335"/>
      <c r="J58" s="462">
        <v>450</v>
      </c>
      <c r="K58" s="462"/>
      <c r="L58" s="462">
        <v>450</v>
      </c>
      <c r="M58" s="339">
        <f t="shared" si="7"/>
        <v>0</v>
      </c>
      <c r="N58" s="335">
        <f t="shared" si="18"/>
        <v>10</v>
      </c>
      <c r="O58" s="520"/>
    </row>
    <row r="59" spans="1:15" ht="12.75" customHeight="1" x14ac:dyDescent="0.25">
      <c r="A59" s="391" t="s">
        <v>317</v>
      </c>
      <c r="B59" s="462">
        <v>321</v>
      </c>
      <c r="C59" s="335"/>
      <c r="D59" s="462">
        <v>395</v>
      </c>
      <c r="E59" s="462">
        <v>395</v>
      </c>
      <c r="F59" s="335"/>
      <c r="G59" s="335">
        <f t="shared" si="16"/>
        <v>0</v>
      </c>
      <c r="H59" s="335">
        <f t="shared" si="17"/>
        <v>74</v>
      </c>
      <c r="I59" s="335"/>
      <c r="J59" s="462">
        <v>325</v>
      </c>
      <c r="K59" s="462"/>
      <c r="L59" s="462">
        <v>325</v>
      </c>
      <c r="M59" s="339">
        <f t="shared" si="7"/>
        <v>0</v>
      </c>
      <c r="N59" s="335">
        <f t="shared" si="18"/>
        <v>-70</v>
      </c>
      <c r="O59" s="520"/>
    </row>
    <row r="60" spans="1:15" ht="12.75" customHeight="1" x14ac:dyDescent="0.25">
      <c r="A60" s="391" t="s">
        <v>390</v>
      </c>
      <c r="B60" s="462">
        <v>450</v>
      </c>
      <c r="C60" s="335"/>
      <c r="D60" s="462">
        <v>510</v>
      </c>
      <c r="E60" s="462">
        <v>510</v>
      </c>
      <c r="F60" s="335"/>
      <c r="G60" s="335">
        <f t="shared" si="16"/>
        <v>0</v>
      </c>
      <c r="H60" s="335">
        <f t="shared" si="17"/>
        <v>60</v>
      </c>
      <c r="I60" s="335"/>
      <c r="J60" s="462">
        <v>500</v>
      </c>
      <c r="K60" s="462"/>
      <c r="L60" s="462">
        <v>500</v>
      </c>
      <c r="M60" s="339">
        <f t="shared" si="7"/>
        <v>0</v>
      </c>
      <c r="N60" s="335">
        <f t="shared" si="18"/>
        <v>-10</v>
      </c>
      <c r="O60" s="520"/>
    </row>
    <row r="61" spans="1:15" ht="12.75" customHeight="1" x14ac:dyDescent="0.25">
      <c r="A61" s="391" t="s">
        <v>308</v>
      </c>
      <c r="B61" s="462">
        <v>966</v>
      </c>
      <c r="C61" s="335"/>
      <c r="D61" s="336">
        <v>1031</v>
      </c>
      <c r="E61" s="336">
        <v>1031</v>
      </c>
      <c r="F61" s="335"/>
      <c r="G61" s="335">
        <f t="shared" si="16"/>
        <v>0</v>
      </c>
      <c r="H61" s="335">
        <f t="shared" si="17"/>
        <v>65</v>
      </c>
      <c r="I61" s="335"/>
      <c r="J61" s="336">
        <v>1050</v>
      </c>
      <c r="K61" s="336"/>
      <c r="L61" s="336">
        <v>1050</v>
      </c>
      <c r="M61" s="339">
        <f t="shared" si="7"/>
        <v>0</v>
      </c>
      <c r="N61" s="335">
        <f t="shared" si="18"/>
        <v>19</v>
      </c>
      <c r="O61" s="520"/>
    </row>
    <row r="62" spans="1:15" s="420" customFormat="1" ht="12.75" customHeight="1" x14ac:dyDescent="0.25">
      <c r="A62" s="439" t="s">
        <v>316</v>
      </c>
      <c r="B62" s="462">
        <v>208</v>
      </c>
      <c r="C62" s="422"/>
      <c r="D62" s="336">
        <v>182</v>
      </c>
      <c r="E62" s="462">
        <v>182</v>
      </c>
      <c r="F62" s="422"/>
      <c r="G62" s="422">
        <f t="shared" si="16"/>
        <v>0</v>
      </c>
      <c r="H62" s="422">
        <f t="shared" si="17"/>
        <v>-26</v>
      </c>
      <c r="I62" s="422"/>
      <c r="J62" s="336">
        <v>180</v>
      </c>
      <c r="K62" s="462"/>
      <c r="L62" s="462">
        <v>180</v>
      </c>
      <c r="M62" s="339">
        <f t="shared" si="7"/>
        <v>0</v>
      </c>
      <c r="N62" s="335">
        <f t="shared" si="18"/>
        <v>-2</v>
      </c>
      <c r="O62" s="523"/>
    </row>
    <row r="63" spans="1:15" s="420" customFormat="1" ht="12.75" customHeight="1" x14ac:dyDescent="0.25">
      <c r="A63" s="439" t="s">
        <v>292</v>
      </c>
      <c r="B63" s="462">
        <v>110</v>
      </c>
      <c r="C63" s="422"/>
      <c r="D63" s="462">
        <v>101</v>
      </c>
      <c r="E63" s="462">
        <v>101</v>
      </c>
      <c r="F63" s="422"/>
      <c r="G63" s="422">
        <f t="shared" si="16"/>
        <v>0</v>
      </c>
      <c r="H63" s="422">
        <f t="shared" si="17"/>
        <v>-9</v>
      </c>
      <c r="I63" s="422"/>
      <c r="J63" s="462">
        <v>115</v>
      </c>
      <c r="K63" s="462"/>
      <c r="L63" s="462">
        <v>115</v>
      </c>
      <c r="M63" s="339">
        <f t="shared" si="7"/>
        <v>0</v>
      </c>
      <c r="N63" s="335">
        <f t="shared" si="18"/>
        <v>14</v>
      </c>
      <c r="O63" s="523"/>
    </row>
    <row r="64" spans="1:15" s="420" customFormat="1" ht="12.75" customHeight="1" x14ac:dyDescent="0.25">
      <c r="A64" s="439" t="s">
        <v>293</v>
      </c>
      <c r="B64" s="462">
        <v>190</v>
      </c>
      <c r="C64" s="422"/>
      <c r="D64" s="462">
        <v>150</v>
      </c>
      <c r="E64" s="462">
        <v>150</v>
      </c>
      <c r="F64" s="422"/>
      <c r="G64" s="422">
        <f t="shared" si="16"/>
        <v>0</v>
      </c>
      <c r="H64" s="422">
        <f t="shared" si="17"/>
        <v>-40</v>
      </c>
      <c r="I64" s="422"/>
      <c r="J64" s="462">
        <v>150</v>
      </c>
      <c r="K64" s="462"/>
      <c r="L64" s="462">
        <v>150</v>
      </c>
      <c r="M64" s="339">
        <f t="shared" si="7"/>
        <v>0</v>
      </c>
      <c r="N64" s="335">
        <f t="shared" si="18"/>
        <v>0</v>
      </c>
      <c r="O64" s="523"/>
    </row>
    <row r="65" spans="1:24" s="420" customFormat="1" ht="12.75" customHeight="1" x14ac:dyDescent="0.25">
      <c r="A65" s="439" t="s">
        <v>294</v>
      </c>
      <c r="B65" s="462">
        <v>250</v>
      </c>
      <c r="C65" s="422"/>
      <c r="D65" s="462">
        <v>250</v>
      </c>
      <c r="E65" s="462">
        <v>250</v>
      </c>
      <c r="F65" s="422"/>
      <c r="G65" s="422">
        <f t="shared" si="16"/>
        <v>0</v>
      </c>
      <c r="H65" s="422">
        <f t="shared" si="17"/>
        <v>0</v>
      </c>
      <c r="I65" s="422"/>
      <c r="J65" s="462">
        <v>200</v>
      </c>
      <c r="K65" s="462"/>
      <c r="L65" s="462">
        <v>200</v>
      </c>
      <c r="M65" s="339">
        <f t="shared" si="7"/>
        <v>0</v>
      </c>
      <c r="N65" s="335">
        <f t="shared" si="18"/>
        <v>-50</v>
      </c>
      <c r="O65" s="523"/>
    </row>
    <row r="66" spans="1:24" s="420" customFormat="1" ht="12.75" customHeight="1" x14ac:dyDescent="0.25">
      <c r="A66" s="439" t="s">
        <v>391</v>
      </c>
      <c r="B66" s="462">
        <v>290</v>
      </c>
      <c r="C66" s="422"/>
      <c r="D66" s="462">
        <v>350</v>
      </c>
      <c r="E66" s="462">
        <v>350</v>
      </c>
      <c r="F66" s="422"/>
      <c r="G66" s="422">
        <f t="shared" si="16"/>
        <v>0</v>
      </c>
      <c r="H66" s="422">
        <f t="shared" si="17"/>
        <v>60</v>
      </c>
      <c r="I66" s="422"/>
      <c r="J66" s="462">
        <v>375</v>
      </c>
      <c r="K66" s="462"/>
      <c r="L66" s="462">
        <v>375</v>
      </c>
      <c r="M66" s="339">
        <f t="shared" si="7"/>
        <v>0</v>
      </c>
      <c r="N66" s="335">
        <f t="shared" si="18"/>
        <v>25</v>
      </c>
      <c r="O66" s="523"/>
    </row>
    <row r="67" spans="1:24" s="420" customFormat="1" ht="12.75" customHeight="1" x14ac:dyDescent="0.25">
      <c r="A67" s="439" t="s">
        <v>295</v>
      </c>
      <c r="B67" s="462">
        <v>489</v>
      </c>
      <c r="C67" s="422"/>
      <c r="D67" s="462">
        <v>500</v>
      </c>
      <c r="E67" s="462">
        <v>530</v>
      </c>
      <c r="F67" s="422"/>
      <c r="G67" s="422">
        <f t="shared" si="16"/>
        <v>30</v>
      </c>
      <c r="H67" s="422">
        <f t="shared" si="17"/>
        <v>41</v>
      </c>
      <c r="I67" s="422"/>
      <c r="J67" s="462">
        <v>450</v>
      </c>
      <c r="K67" s="462"/>
      <c r="L67" s="462">
        <v>450</v>
      </c>
      <c r="M67" s="339">
        <f t="shared" si="7"/>
        <v>0</v>
      </c>
      <c r="N67" s="422">
        <f t="shared" si="18"/>
        <v>-80</v>
      </c>
      <c r="O67" s="523"/>
    </row>
    <row r="68" spans="1:24" s="420" customFormat="1" ht="12.75" customHeight="1" x14ac:dyDescent="0.25">
      <c r="A68" s="439" t="s">
        <v>423</v>
      </c>
      <c r="B68" s="462">
        <v>81</v>
      </c>
      <c r="C68" s="422"/>
      <c r="D68" s="462">
        <v>116</v>
      </c>
      <c r="E68" s="462">
        <v>116</v>
      </c>
      <c r="F68" s="422"/>
      <c r="G68" s="422">
        <f t="shared" si="16"/>
        <v>0</v>
      </c>
      <c r="H68" s="422">
        <f t="shared" si="17"/>
        <v>35</v>
      </c>
      <c r="I68" s="422"/>
      <c r="J68" s="462">
        <v>100</v>
      </c>
      <c r="K68" s="462"/>
      <c r="L68" s="462">
        <v>100</v>
      </c>
      <c r="M68" s="339">
        <f t="shared" si="7"/>
        <v>0</v>
      </c>
      <c r="N68" s="422">
        <f t="shared" si="18"/>
        <v>-16</v>
      </c>
      <c r="O68" s="523"/>
    </row>
    <row r="69" spans="1:24" s="420" customFormat="1" ht="12.75" customHeight="1" x14ac:dyDescent="0.25">
      <c r="A69" s="439" t="s">
        <v>315</v>
      </c>
      <c r="B69" s="462">
        <v>850</v>
      </c>
      <c r="C69" s="422"/>
      <c r="D69" s="336">
        <v>1000</v>
      </c>
      <c r="E69" s="462">
        <v>850</v>
      </c>
      <c r="F69" s="422"/>
      <c r="G69" s="422">
        <f t="shared" si="16"/>
        <v>-150</v>
      </c>
      <c r="H69" s="422">
        <f t="shared" si="17"/>
        <v>0</v>
      </c>
      <c r="I69" s="422"/>
      <c r="J69" s="336">
        <v>1200</v>
      </c>
      <c r="K69" s="462"/>
      <c r="L69" s="336">
        <v>1000</v>
      </c>
      <c r="M69" s="339">
        <f t="shared" si="7"/>
        <v>-200</v>
      </c>
      <c r="N69" s="422">
        <f t="shared" si="18"/>
        <v>150</v>
      </c>
      <c r="O69" s="523"/>
    </row>
    <row r="70" spans="1:24" s="441" customFormat="1" ht="12.75" customHeight="1" x14ac:dyDescent="0.25">
      <c r="A70" s="439" t="s">
        <v>297</v>
      </c>
      <c r="B70" s="462">
        <v>981</v>
      </c>
      <c r="C70" s="440"/>
      <c r="D70" s="336">
        <v>1210</v>
      </c>
      <c r="E70" s="336">
        <v>1210</v>
      </c>
      <c r="F70" s="440"/>
      <c r="G70" s="422">
        <f t="shared" si="16"/>
        <v>0</v>
      </c>
      <c r="H70" s="422">
        <f t="shared" si="17"/>
        <v>229</v>
      </c>
      <c r="I70" s="440"/>
      <c r="J70" s="336">
        <v>1200</v>
      </c>
      <c r="K70" s="462"/>
      <c r="L70" s="336">
        <v>1175</v>
      </c>
      <c r="M70" s="339">
        <f t="shared" si="7"/>
        <v>-25</v>
      </c>
      <c r="N70" s="422">
        <f t="shared" si="18"/>
        <v>-35</v>
      </c>
      <c r="O70" s="524"/>
    </row>
    <row r="71" spans="1:24" s="441" customFormat="1" ht="12.75" customHeight="1" x14ac:dyDescent="0.25">
      <c r="A71" s="439" t="s">
        <v>299</v>
      </c>
      <c r="B71" s="462">
        <v>515</v>
      </c>
      <c r="C71" s="440"/>
      <c r="D71" s="462">
        <v>530</v>
      </c>
      <c r="E71" s="462">
        <v>530</v>
      </c>
      <c r="F71" s="440"/>
      <c r="G71" s="422">
        <f t="shared" si="16"/>
        <v>0</v>
      </c>
      <c r="H71" s="422">
        <f t="shared" si="17"/>
        <v>15</v>
      </c>
      <c r="I71" s="440"/>
      <c r="J71" s="462">
        <v>480</v>
      </c>
      <c r="K71" s="462"/>
      <c r="L71" s="462">
        <v>480</v>
      </c>
      <c r="M71" s="339">
        <f t="shared" si="7"/>
        <v>0</v>
      </c>
      <c r="N71" s="422">
        <f t="shared" si="18"/>
        <v>-50</v>
      </c>
      <c r="O71" s="524"/>
    </row>
    <row r="72" spans="1:24" s="420" customFormat="1" ht="12.75" customHeight="1" x14ac:dyDescent="0.25">
      <c r="A72" s="439" t="s">
        <v>300</v>
      </c>
      <c r="B72" s="462">
        <v>500</v>
      </c>
      <c r="C72" s="422"/>
      <c r="D72" s="462">
        <v>400</v>
      </c>
      <c r="E72" s="462">
        <v>400</v>
      </c>
      <c r="F72" s="422"/>
      <c r="G72" s="422">
        <f t="shared" si="16"/>
        <v>0</v>
      </c>
      <c r="H72" s="422">
        <f t="shared" si="17"/>
        <v>-100</v>
      </c>
      <c r="I72" s="422"/>
      <c r="J72" s="462">
        <v>500</v>
      </c>
      <c r="K72" s="462"/>
      <c r="L72" s="462">
        <v>500</v>
      </c>
      <c r="M72" s="339">
        <f t="shared" si="7"/>
        <v>0</v>
      </c>
      <c r="N72" s="422">
        <f t="shared" si="18"/>
        <v>100</v>
      </c>
      <c r="O72" s="523"/>
    </row>
    <row r="73" spans="1:24" s="420" customFormat="1" ht="12.75" customHeight="1" x14ac:dyDescent="0.25">
      <c r="A73" s="439" t="s">
        <v>314</v>
      </c>
      <c r="B73" s="462">
        <v>560</v>
      </c>
      <c r="C73" s="422"/>
      <c r="D73" s="462">
        <v>560</v>
      </c>
      <c r="E73" s="462">
        <v>560</v>
      </c>
      <c r="F73" s="422"/>
      <c r="G73" s="422">
        <f t="shared" si="16"/>
        <v>0</v>
      </c>
      <c r="H73" s="422">
        <f t="shared" si="17"/>
        <v>0</v>
      </c>
      <c r="I73" s="422"/>
      <c r="J73" s="462">
        <v>525</v>
      </c>
      <c r="K73" s="462"/>
      <c r="L73" s="462">
        <v>525</v>
      </c>
      <c r="M73" s="339">
        <f t="shared" si="7"/>
        <v>0</v>
      </c>
      <c r="N73" s="422">
        <f t="shared" si="18"/>
        <v>-35</v>
      </c>
    </row>
    <row r="74" spans="1:24" s="441" customFormat="1" ht="12.75" customHeight="1" x14ac:dyDescent="0.25">
      <c r="A74" s="439" t="s">
        <v>313</v>
      </c>
      <c r="B74" s="442">
        <f>SUM(B7:B73)</f>
        <v>39960</v>
      </c>
      <c r="C74" s="440"/>
      <c r="D74" s="442">
        <f>SUM(D7:D73)</f>
        <v>41090</v>
      </c>
      <c r="E74" s="442">
        <f>SUM(E7:E73)</f>
        <v>41160</v>
      </c>
      <c r="F74" s="440"/>
      <c r="G74" s="442">
        <f>SUM(G7:G73)</f>
        <v>70</v>
      </c>
      <c r="H74" s="442">
        <f>SUM(H7:H73)</f>
        <v>1200</v>
      </c>
      <c r="I74" s="442"/>
      <c r="J74" s="442">
        <f>SUM(J7:J73)</f>
        <v>42160</v>
      </c>
      <c r="K74" s="442"/>
      <c r="L74" s="442">
        <f>SUM(L7:L73)</f>
        <v>41785</v>
      </c>
      <c r="M74" s="339">
        <f t="shared" si="7"/>
        <v>-375</v>
      </c>
      <c r="N74" s="442">
        <f>SUM(N7:N73)</f>
        <v>625</v>
      </c>
    </row>
    <row r="75" spans="1:24" s="441" customFormat="1" ht="12.75" customHeight="1" x14ac:dyDescent="0.25">
      <c r="A75" s="439" t="s">
        <v>312</v>
      </c>
      <c r="B75" s="443">
        <f t="shared" ref="B75" si="27">B77-B74</f>
        <v>3678</v>
      </c>
      <c r="C75" s="440"/>
      <c r="D75" s="443">
        <f t="shared" ref="D75:E75" si="28">D77-D74</f>
        <v>3851</v>
      </c>
      <c r="E75" s="443">
        <f t="shared" si="28"/>
        <v>3806</v>
      </c>
      <c r="F75" s="443"/>
      <c r="G75" s="443">
        <f t="shared" ref="G75:N75" si="29">G77-G74</f>
        <v>-45</v>
      </c>
      <c r="H75" s="443">
        <f t="shared" si="29"/>
        <v>128</v>
      </c>
      <c r="I75" s="443"/>
      <c r="J75" s="443">
        <f t="shared" ref="J75:L75" si="30">J77-J74</f>
        <v>3979</v>
      </c>
      <c r="K75" s="443"/>
      <c r="L75" s="443">
        <f t="shared" si="30"/>
        <v>4190</v>
      </c>
      <c r="M75" s="339">
        <f t="shared" si="7"/>
        <v>211</v>
      </c>
      <c r="N75" s="443">
        <f t="shared" si="29"/>
        <v>384</v>
      </c>
    </row>
    <row r="76" spans="1:24" s="441" customFormat="1" ht="12.75" customHeight="1" x14ac:dyDescent="0.25">
      <c r="A76" s="444"/>
      <c r="B76" s="440"/>
      <c r="C76" s="440"/>
      <c r="D76" s="426"/>
      <c r="E76" s="426"/>
      <c r="F76" s="440"/>
      <c r="G76" s="422"/>
      <c r="H76" s="422"/>
      <c r="I76" s="440"/>
      <c r="J76" s="426"/>
      <c r="K76" s="426"/>
      <c r="L76" s="426"/>
      <c r="M76" s="466"/>
      <c r="N76" s="422"/>
      <c r="U76" s="445"/>
      <c r="W76" s="446"/>
      <c r="X76" s="446"/>
    </row>
    <row r="77" spans="1:24" s="451" customFormat="1" ht="12.75" customHeight="1" x14ac:dyDescent="0.25">
      <c r="A77" s="447" t="s">
        <v>303</v>
      </c>
      <c r="B77" s="448">
        <v>43638</v>
      </c>
      <c r="C77" s="448"/>
      <c r="D77" s="465">
        <v>44941</v>
      </c>
      <c r="E77" s="465">
        <v>44966</v>
      </c>
      <c r="F77" s="448"/>
      <c r="G77" s="449">
        <f>E77-D77</f>
        <v>25</v>
      </c>
      <c r="H77" s="449">
        <f>E77-B77</f>
        <v>1328</v>
      </c>
      <c r="I77" s="448"/>
      <c r="J77" s="465">
        <v>46139</v>
      </c>
      <c r="K77" s="450"/>
      <c r="L77" s="465">
        <v>45975</v>
      </c>
      <c r="M77" s="465">
        <f t="shared" si="7"/>
        <v>-164</v>
      </c>
      <c r="N77" s="449">
        <f>L77-E77</f>
        <v>1009</v>
      </c>
      <c r="U77" s="452"/>
      <c r="W77" s="453"/>
      <c r="X77" s="453"/>
    </row>
    <row r="78" spans="1:24" ht="15.75" customHeight="1" x14ac:dyDescent="0.25">
      <c r="A78" s="390" t="s">
        <v>456</v>
      </c>
      <c r="B78" s="362"/>
      <c r="C78" s="335"/>
      <c r="D78" s="345"/>
      <c r="E78" s="345"/>
      <c r="F78" s="362"/>
      <c r="G78" s="362"/>
      <c r="H78" s="362"/>
      <c r="I78" s="362"/>
      <c r="J78" s="345"/>
      <c r="K78" s="345"/>
      <c r="L78" s="345"/>
      <c r="M78" s="362"/>
      <c r="N78" s="362"/>
      <c r="U78" s="216"/>
      <c r="W78" s="232"/>
      <c r="X78" s="232"/>
    </row>
    <row r="79" spans="1:24" ht="12" customHeight="1" x14ac:dyDescent="0.25">
      <c r="A79" s="368" t="s">
        <v>354</v>
      </c>
      <c r="B79" s="362"/>
      <c r="C79" s="335"/>
      <c r="D79" s="345"/>
      <c r="E79" s="345"/>
      <c r="F79" s="362"/>
      <c r="G79" s="362"/>
      <c r="H79" s="362"/>
      <c r="I79" s="362"/>
      <c r="J79" s="345"/>
      <c r="K79" s="345"/>
      <c r="L79" s="345"/>
      <c r="M79" s="362"/>
      <c r="N79" s="362"/>
      <c r="U79" s="216"/>
      <c r="W79" s="232"/>
      <c r="X79" s="232"/>
    </row>
    <row r="80" spans="1:24" ht="12" customHeight="1" x14ac:dyDescent="0.3">
      <c r="A80" s="368" t="s">
        <v>433</v>
      </c>
      <c r="B80" s="362"/>
      <c r="C80" s="335"/>
      <c r="D80" s="345"/>
      <c r="E80" s="345"/>
      <c r="F80" s="362"/>
      <c r="G80" s="362"/>
      <c r="H80" s="362"/>
      <c r="I80" s="362"/>
      <c r="J80" s="345"/>
      <c r="K80" s="345"/>
      <c r="L80" s="345"/>
      <c r="M80" s="362"/>
      <c r="N80" s="362"/>
      <c r="U80" s="216"/>
      <c r="W80" s="232"/>
      <c r="X80" s="232"/>
    </row>
    <row r="81" spans="1:27" ht="12" customHeight="1" x14ac:dyDescent="0.3">
      <c r="A81" s="19" t="s">
        <v>438</v>
      </c>
      <c r="B81" s="362"/>
      <c r="C81" s="335"/>
      <c r="D81" s="345"/>
      <c r="E81" s="345"/>
      <c r="F81" s="362"/>
      <c r="G81" s="362"/>
      <c r="H81" s="362"/>
      <c r="I81" s="362"/>
      <c r="J81" s="345"/>
      <c r="K81" s="345"/>
      <c r="L81" s="345"/>
      <c r="M81" s="362"/>
      <c r="N81" s="362"/>
      <c r="U81" s="216"/>
      <c r="W81" s="232"/>
      <c r="X81" s="232"/>
    </row>
    <row r="82" spans="1:27" ht="11.15" customHeight="1" x14ac:dyDescent="0.25">
      <c r="B82" s="335"/>
      <c r="C82" s="335"/>
      <c r="D82" s="345"/>
      <c r="E82" s="345"/>
      <c r="F82" s="335"/>
      <c r="G82" s="335"/>
      <c r="H82" s="335"/>
      <c r="I82" s="335"/>
      <c r="J82" s="345"/>
      <c r="K82" s="345"/>
      <c r="L82" s="345"/>
      <c r="M82" s="335"/>
      <c r="N82" s="335"/>
      <c r="U82" s="216"/>
      <c r="W82" s="232"/>
      <c r="X82" s="232"/>
    </row>
    <row r="83" spans="1:27" ht="10.5" customHeight="1" x14ac:dyDescent="0.3">
      <c r="A83" s="365"/>
      <c r="B83" s="365"/>
      <c r="C83" s="335"/>
      <c r="D83" s="389"/>
      <c r="E83" s="389"/>
      <c r="F83" s="335"/>
      <c r="G83" s="335"/>
      <c r="H83" s="335"/>
      <c r="I83" s="335"/>
      <c r="J83" s="389"/>
      <c r="K83" s="389"/>
      <c r="L83" s="389"/>
      <c r="M83" s="335"/>
      <c r="N83" s="335"/>
      <c r="U83" s="216"/>
      <c r="W83" s="232"/>
      <c r="X83" s="232"/>
    </row>
    <row r="84" spans="1:27" x14ac:dyDescent="0.25">
      <c r="A84" s="362"/>
      <c r="B84" s="335"/>
      <c r="C84" s="335"/>
      <c r="D84" s="345"/>
      <c r="E84" s="345"/>
      <c r="F84" s="335"/>
      <c r="G84" s="362"/>
      <c r="H84" s="335"/>
      <c r="I84" s="362"/>
      <c r="J84" s="345"/>
      <c r="K84" s="345"/>
      <c r="L84" s="345"/>
      <c r="M84" s="362"/>
      <c r="N84" s="335"/>
      <c r="U84" s="216"/>
      <c r="W84" s="232"/>
      <c r="X84" s="232"/>
    </row>
    <row r="85" spans="1:27" x14ac:dyDescent="0.25">
      <c r="A85" s="331"/>
      <c r="G85" s="331"/>
      <c r="H85" s="331"/>
      <c r="I85" s="331"/>
      <c r="M85" s="331"/>
      <c r="N85" s="331"/>
      <c r="U85" s="216"/>
      <c r="W85" s="232"/>
      <c r="X85" s="232"/>
    </row>
    <row r="86" spans="1:27" x14ac:dyDescent="0.25">
      <c r="H86" s="331"/>
      <c r="N86" s="331"/>
      <c r="U86" s="216"/>
      <c r="W86" s="232"/>
      <c r="X86" s="232"/>
    </row>
    <row r="87" spans="1:27" x14ac:dyDescent="0.25">
      <c r="B87" s="331"/>
      <c r="H87" s="331"/>
      <c r="N87" s="331"/>
      <c r="U87" s="216"/>
      <c r="W87" s="232"/>
      <c r="X87" s="232"/>
    </row>
    <row r="88" spans="1:27" x14ac:dyDescent="0.25">
      <c r="H88" s="331"/>
      <c r="N88" s="331"/>
      <c r="U88" s="216"/>
      <c r="W88" s="232"/>
      <c r="X88" s="232"/>
    </row>
    <row r="89" spans="1:27" x14ac:dyDescent="0.25">
      <c r="U89" s="216"/>
      <c r="W89" s="232"/>
      <c r="X89" s="232"/>
    </row>
    <row r="90" spans="1:27" x14ac:dyDescent="0.25">
      <c r="U90" s="216"/>
      <c r="W90" s="232"/>
      <c r="X90" s="232"/>
    </row>
    <row r="92" spans="1:27" x14ac:dyDescent="0.25">
      <c r="U92" s="216"/>
      <c r="W92" s="232"/>
      <c r="X92" s="232"/>
    </row>
    <row r="93" spans="1:27" x14ac:dyDescent="0.25">
      <c r="U93" s="245"/>
      <c r="W93" s="245"/>
      <c r="X93" s="245"/>
    </row>
    <row r="94" spans="1:27" ht="11.15" customHeight="1" x14ac:dyDescent="0.25">
      <c r="U94" s="245"/>
      <c r="W94" s="245"/>
      <c r="X94" s="245"/>
      <c r="Y94" s="245"/>
      <c r="Z94" s="245"/>
      <c r="AA94" s="245"/>
    </row>
    <row r="95" spans="1:27" ht="11.15" customHeight="1" x14ac:dyDescent="0.25">
      <c r="U95" s="216"/>
    </row>
    <row r="96" spans="1:27" ht="11.15" customHeight="1" x14ac:dyDescent="0.25"/>
    <row r="97" spans="2:21" ht="11.15" customHeight="1" x14ac:dyDescent="0.25">
      <c r="U97" s="216"/>
    </row>
    <row r="98" spans="2:21" x14ac:dyDescent="0.25">
      <c r="U98" s="216"/>
    </row>
    <row r="99" spans="2:21" x14ac:dyDescent="0.25">
      <c r="U99" s="216"/>
    </row>
    <row r="100" spans="2:21" x14ac:dyDescent="0.25">
      <c r="U100" s="216"/>
    </row>
    <row r="102" spans="2:21" x14ac:dyDescent="0.25">
      <c r="U102" s="216"/>
    </row>
    <row r="103" spans="2:21" x14ac:dyDescent="0.25">
      <c r="B103" s="260"/>
      <c r="D103" s="387"/>
      <c r="E103" s="387"/>
      <c r="F103" s="260"/>
      <c r="G103" s="260"/>
      <c r="H103" s="260"/>
      <c r="I103" s="260"/>
      <c r="J103" s="387"/>
      <c r="K103" s="387"/>
      <c r="L103" s="387"/>
      <c r="M103" s="260"/>
      <c r="N103" s="260"/>
    </row>
    <row r="104" spans="2:21" x14ac:dyDescent="0.25">
      <c r="B104" s="260"/>
      <c r="D104" s="387"/>
      <c r="E104" s="387"/>
      <c r="F104" s="260"/>
      <c r="G104" s="260"/>
      <c r="H104" s="260"/>
      <c r="I104" s="260"/>
      <c r="J104" s="387"/>
      <c r="K104" s="387"/>
      <c r="L104" s="387"/>
      <c r="M104" s="260"/>
      <c r="N104" s="260"/>
    </row>
    <row r="105" spans="2:21" x14ac:dyDescent="0.25">
      <c r="B105" s="260"/>
      <c r="D105" s="387"/>
      <c r="E105" s="387"/>
      <c r="F105" s="260"/>
      <c r="G105" s="260"/>
      <c r="H105" s="260"/>
      <c r="I105" s="260"/>
      <c r="J105" s="387"/>
      <c r="K105" s="387"/>
      <c r="L105" s="387"/>
      <c r="M105" s="260"/>
      <c r="N105" s="260"/>
    </row>
    <row r="106" spans="2:21" x14ac:dyDescent="0.25">
      <c r="B106" s="260"/>
      <c r="D106" s="387"/>
      <c r="E106" s="387"/>
      <c r="F106" s="260"/>
      <c r="G106" s="260"/>
      <c r="H106" s="260"/>
      <c r="I106" s="260"/>
      <c r="J106" s="387"/>
      <c r="K106" s="387"/>
      <c r="L106" s="387"/>
      <c r="M106" s="260"/>
      <c r="N106" s="260"/>
    </row>
    <row r="109" spans="2:21" x14ac:dyDescent="0.25">
      <c r="C109" s="260"/>
    </row>
    <row r="110" spans="2:21" x14ac:dyDescent="0.25">
      <c r="B110" s="260"/>
      <c r="C110" s="260"/>
      <c r="D110" s="387"/>
      <c r="E110" s="387"/>
      <c r="F110" s="260"/>
      <c r="G110" s="260"/>
      <c r="H110" s="260"/>
      <c r="I110" s="260"/>
      <c r="J110" s="387"/>
      <c r="K110" s="387"/>
      <c r="L110" s="387"/>
      <c r="M110" s="260"/>
      <c r="N110" s="260"/>
    </row>
    <row r="111" spans="2:21" x14ac:dyDescent="0.25">
      <c r="B111" s="260"/>
      <c r="C111" s="260"/>
      <c r="D111" s="387"/>
      <c r="E111" s="387"/>
      <c r="F111" s="260"/>
      <c r="G111" s="260"/>
      <c r="H111" s="260"/>
      <c r="I111" s="260"/>
      <c r="J111" s="387"/>
      <c r="K111" s="387"/>
      <c r="L111" s="387"/>
      <c r="M111" s="260"/>
      <c r="N111" s="260"/>
    </row>
    <row r="112" spans="2:21" x14ac:dyDescent="0.25">
      <c r="C112" s="260"/>
      <c r="O112" s="258"/>
      <c r="P112" s="258"/>
      <c r="Q112" s="258"/>
      <c r="R112" s="258"/>
      <c r="S112" s="258"/>
      <c r="T112" s="258"/>
    </row>
    <row r="113" spans="1:20" x14ac:dyDescent="0.25">
      <c r="B113" s="260"/>
      <c r="C113" s="260"/>
      <c r="D113" s="387"/>
      <c r="E113" s="387"/>
      <c r="F113" s="260"/>
      <c r="G113" s="260"/>
      <c r="H113" s="260"/>
      <c r="I113" s="260"/>
      <c r="J113" s="387"/>
      <c r="K113" s="387"/>
      <c r="L113" s="387"/>
      <c r="M113" s="260"/>
      <c r="N113" s="260"/>
      <c r="O113" s="258"/>
      <c r="P113" s="258"/>
      <c r="Q113" s="258"/>
      <c r="R113" s="258"/>
      <c r="S113" s="258"/>
      <c r="T113" s="258"/>
    </row>
    <row r="114" spans="1:20" x14ac:dyDescent="0.25">
      <c r="B114" s="260"/>
      <c r="C114" s="260"/>
      <c r="D114" s="387"/>
      <c r="E114" s="387"/>
      <c r="F114" s="260"/>
      <c r="G114" s="260"/>
      <c r="H114" s="260"/>
      <c r="I114" s="260"/>
      <c r="J114" s="387"/>
      <c r="K114" s="387"/>
      <c r="L114" s="387"/>
      <c r="M114" s="260"/>
      <c r="N114" s="260"/>
    </row>
    <row r="115" spans="1:20" x14ac:dyDescent="0.25">
      <c r="B115" s="260"/>
      <c r="D115" s="387"/>
      <c r="E115" s="387"/>
      <c r="F115" s="260"/>
      <c r="G115" s="260"/>
      <c r="H115" s="260"/>
      <c r="I115" s="260"/>
      <c r="J115" s="387"/>
      <c r="K115" s="387"/>
      <c r="L115" s="387"/>
      <c r="M115" s="260"/>
      <c r="N115" s="260"/>
    </row>
    <row r="116" spans="1:20" x14ac:dyDescent="0.25">
      <c r="B116" s="260"/>
      <c r="C116" s="232"/>
      <c r="D116" s="387"/>
      <c r="E116" s="387"/>
      <c r="F116" s="260"/>
      <c r="G116" s="260"/>
      <c r="H116" s="260"/>
      <c r="I116" s="260"/>
      <c r="J116" s="387"/>
      <c r="K116" s="387"/>
      <c r="L116" s="387"/>
      <c r="M116" s="260"/>
      <c r="N116" s="260"/>
    </row>
    <row r="117" spans="1:20" x14ac:dyDescent="0.25">
      <c r="A117" s="232"/>
      <c r="B117" s="232"/>
      <c r="C117" s="260"/>
      <c r="D117" s="388"/>
      <c r="E117" s="388"/>
      <c r="F117" s="232"/>
      <c r="G117" s="232"/>
      <c r="H117" s="232"/>
      <c r="I117" s="232"/>
      <c r="J117" s="388"/>
      <c r="K117" s="388"/>
      <c r="L117" s="388"/>
      <c r="M117" s="232"/>
      <c r="N117" s="232"/>
    </row>
    <row r="118" spans="1:20" x14ac:dyDescent="0.25">
      <c r="A118" s="232"/>
      <c r="B118" s="232"/>
      <c r="D118" s="388"/>
      <c r="E118" s="388"/>
      <c r="F118" s="232"/>
      <c r="G118" s="232"/>
      <c r="H118" s="260"/>
      <c r="I118" s="232"/>
      <c r="J118" s="388"/>
      <c r="K118" s="388"/>
      <c r="L118" s="388"/>
      <c r="M118" s="232"/>
      <c r="N118" s="260"/>
    </row>
    <row r="119" spans="1:20" x14ac:dyDescent="0.25">
      <c r="A119" s="232"/>
      <c r="G119" s="258"/>
      <c r="H119" s="260"/>
      <c r="I119" s="258"/>
      <c r="M119" s="258"/>
      <c r="N119" s="260"/>
    </row>
    <row r="120" spans="1:20" x14ac:dyDescent="0.25">
      <c r="B120" s="260"/>
      <c r="D120" s="387"/>
      <c r="E120" s="387"/>
      <c r="F120" s="260"/>
      <c r="G120" s="260"/>
      <c r="H120" s="260"/>
      <c r="I120" s="260"/>
      <c r="J120" s="387"/>
      <c r="K120" s="387"/>
      <c r="L120" s="387"/>
      <c r="M120" s="260"/>
      <c r="N120" s="260"/>
    </row>
    <row r="121" spans="1:20" x14ac:dyDescent="0.25">
      <c r="B121" s="260"/>
      <c r="D121" s="387"/>
      <c r="E121" s="387"/>
      <c r="F121" s="260"/>
      <c r="G121" s="260"/>
      <c r="H121" s="260"/>
      <c r="I121" s="260"/>
      <c r="J121" s="387"/>
      <c r="K121" s="387"/>
      <c r="L121" s="387"/>
      <c r="M121" s="260"/>
      <c r="N121" s="260"/>
    </row>
    <row r="122" spans="1:20" x14ac:dyDescent="0.25">
      <c r="B122" s="260"/>
      <c r="D122" s="387"/>
      <c r="E122" s="387"/>
      <c r="F122" s="260"/>
      <c r="G122" s="260"/>
      <c r="H122" s="260"/>
      <c r="I122" s="260"/>
      <c r="J122" s="387"/>
      <c r="K122" s="387"/>
      <c r="L122" s="387"/>
      <c r="M122" s="260"/>
      <c r="N122" s="260"/>
    </row>
    <row r="123" spans="1:20" x14ac:dyDescent="0.25">
      <c r="B123" s="260"/>
      <c r="D123" s="387"/>
      <c r="E123" s="387"/>
      <c r="F123" s="260"/>
      <c r="G123" s="260"/>
      <c r="H123" s="260"/>
      <c r="I123" s="260"/>
      <c r="J123" s="387"/>
      <c r="K123" s="387"/>
      <c r="L123" s="387"/>
      <c r="M123" s="260"/>
      <c r="N123" s="260"/>
    </row>
    <row r="124" spans="1:20" x14ac:dyDescent="0.25">
      <c r="B124" s="260"/>
      <c r="D124" s="387"/>
      <c r="E124" s="387"/>
      <c r="F124" s="260"/>
      <c r="G124" s="260"/>
      <c r="H124" s="260"/>
      <c r="I124" s="260"/>
      <c r="J124" s="387"/>
      <c r="K124" s="387"/>
      <c r="L124" s="387"/>
      <c r="M124" s="260"/>
      <c r="N124" s="260"/>
    </row>
    <row r="125" spans="1:20" x14ac:dyDescent="0.25">
      <c r="B125" s="260"/>
      <c r="D125" s="387"/>
      <c r="E125" s="387"/>
      <c r="F125" s="260"/>
      <c r="G125" s="260"/>
      <c r="H125" s="260"/>
      <c r="I125" s="260"/>
      <c r="J125" s="387"/>
      <c r="K125" s="387"/>
      <c r="L125" s="387"/>
      <c r="M125" s="260"/>
      <c r="N125" s="260"/>
    </row>
    <row r="126" spans="1:20" x14ac:dyDescent="0.25">
      <c r="B126" s="260"/>
      <c r="D126" s="387"/>
      <c r="E126" s="387"/>
      <c r="F126" s="260"/>
      <c r="G126" s="260"/>
      <c r="H126" s="260"/>
      <c r="I126" s="260"/>
      <c r="J126" s="387"/>
      <c r="K126" s="387"/>
      <c r="L126" s="387"/>
      <c r="M126" s="260"/>
      <c r="N126" s="260"/>
    </row>
    <row r="127" spans="1:20" x14ac:dyDescent="0.25">
      <c r="B127" s="260"/>
      <c r="D127" s="387"/>
      <c r="E127" s="387"/>
      <c r="F127" s="260"/>
      <c r="G127" s="260"/>
      <c r="H127" s="260"/>
      <c r="I127" s="260"/>
      <c r="J127" s="387"/>
      <c r="K127" s="387"/>
      <c r="L127" s="387"/>
      <c r="M127" s="260"/>
      <c r="N127" s="260"/>
    </row>
    <row r="128" spans="1:20" x14ac:dyDescent="0.25">
      <c r="B128" s="260"/>
      <c r="D128" s="387"/>
      <c r="E128" s="387"/>
      <c r="F128" s="260"/>
      <c r="G128" s="260"/>
      <c r="H128" s="260"/>
      <c r="I128" s="260"/>
      <c r="J128" s="387"/>
      <c r="K128" s="387"/>
      <c r="L128" s="387"/>
      <c r="M128" s="260"/>
      <c r="N128" s="260"/>
    </row>
    <row r="129" spans="2:14" x14ac:dyDescent="0.25">
      <c r="B129" s="260"/>
      <c r="D129" s="387"/>
      <c r="E129" s="387"/>
      <c r="F129" s="260"/>
      <c r="G129" s="260"/>
      <c r="H129" s="260"/>
      <c r="I129" s="260"/>
      <c r="J129" s="387"/>
      <c r="K129" s="387"/>
      <c r="L129" s="387"/>
      <c r="M129" s="260"/>
      <c r="N129" s="260"/>
    </row>
    <row r="130" spans="2:14" x14ac:dyDescent="0.25">
      <c r="B130" s="260"/>
      <c r="D130" s="387"/>
      <c r="E130" s="387"/>
      <c r="F130" s="260"/>
      <c r="G130" s="260"/>
      <c r="H130" s="260"/>
      <c r="I130" s="260"/>
      <c r="J130" s="387"/>
      <c r="K130" s="387"/>
      <c r="L130" s="387"/>
      <c r="M130" s="260"/>
      <c r="N130" s="260"/>
    </row>
    <row r="131" spans="2:14" x14ac:dyDescent="0.25">
      <c r="B131" s="260"/>
      <c r="D131" s="387"/>
      <c r="E131" s="387"/>
      <c r="F131" s="260"/>
      <c r="G131" s="260"/>
      <c r="H131" s="260"/>
      <c r="I131" s="260"/>
      <c r="J131" s="387"/>
      <c r="K131" s="387"/>
      <c r="L131" s="387"/>
      <c r="M131" s="260"/>
      <c r="N131" s="260"/>
    </row>
    <row r="132" spans="2:14" x14ac:dyDescent="0.25">
      <c r="B132" s="260"/>
      <c r="D132" s="387"/>
      <c r="E132" s="387"/>
      <c r="F132" s="260"/>
      <c r="G132" s="260"/>
      <c r="H132" s="260"/>
      <c r="I132" s="260"/>
      <c r="J132" s="387"/>
      <c r="K132" s="387"/>
      <c r="L132" s="387"/>
      <c r="M132" s="260"/>
      <c r="N132" s="260"/>
    </row>
    <row r="133" spans="2:14" x14ac:dyDescent="0.25">
      <c r="B133" s="260"/>
      <c r="D133" s="387"/>
      <c r="E133" s="387"/>
      <c r="F133" s="260"/>
      <c r="G133" s="260"/>
      <c r="H133" s="260"/>
      <c r="I133" s="260"/>
      <c r="J133" s="387"/>
      <c r="K133" s="387"/>
      <c r="L133" s="387"/>
      <c r="M133" s="260"/>
      <c r="N133" s="260"/>
    </row>
    <row r="134" spans="2:14" x14ac:dyDescent="0.25">
      <c r="B134" s="260"/>
      <c r="D134" s="387"/>
      <c r="E134" s="387"/>
      <c r="F134" s="260"/>
      <c r="G134" s="260"/>
      <c r="H134" s="260"/>
      <c r="I134" s="260"/>
      <c r="J134" s="387"/>
      <c r="K134" s="387"/>
      <c r="L134" s="387"/>
      <c r="M134" s="260"/>
      <c r="N134" s="260"/>
    </row>
    <row r="135" spans="2:14" x14ac:dyDescent="0.25">
      <c r="H135" s="260"/>
      <c r="N135" s="260"/>
    </row>
    <row r="136" spans="2:14" x14ac:dyDescent="0.25">
      <c r="H136" s="260"/>
      <c r="N136" s="260"/>
    </row>
    <row r="137" spans="2:14" x14ac:dyDescent="0.25">
      <c r="H137" s="260"/>
      <c r="N137" s="260"/>
    </row>
    <row r="138" spans="2:14" x14ac:dyDescent="0.25">
      <c r="H138" s="260"/>
      <c r="N138" s="260"/>
    </row>
    <row r="139" spans="2:14" x14ac:dyDescent="0.25">
      <c r="H139" s="260"/>
      <c r="N139" s="260"/>
    </row>
    <row r="140" spans="2:14" x14ac:dyDescent="0.25">
      <c r="H140" s="260"/>
      <c r="N140" s="260"/>
    </row>
    <row r="141" spans="2:14" x14ac:dyDescent="0.25">
      <c r="H141" s="260"/>
      <c r="N141" s="260"/>
    </row>
    <row r="142" spans="2:14" x14ac:dyDescent="0.25">
      <c r="H142" s="260"/>
      <c r="N142" s="260"/>
    </row>
    <row r="143" spans="2:14" x14ac:dyDescent="0.25">
      <c r="H143" s="260"/>
      <c r="N143" s="260"/>
    </row>
    <row r="144" spans="2:14" x14ac:dyDescent="0.25">
      <c r="H144" s="260"/>
      <c r="N144" s="260"/>
    </row>
    <row r="145" spans="8:14" x14ac:dyDescent="0.25">
      <c r="H145" s="260"/>
      <c r="N145" s="260"/>
    </row>
    <row r="146" spans="8:14" x14ac:dyDescent="0.25">
      <c r="H146" s="260"/>
      <c r="N146" s="260"/>
    </row>
    <row r="147" spans="8:14" x14ac:dyDescent="0.25">
      <c r="H147" s="260"/>
      <c r="N147" s="260"/>
    </row>
    <row r="148" spans="8:14" x14ac:dyDescent="0.25">
      <c r="H148" s="260"/>
      <c r="N148" s="260"/>
    </row>
    <row r="149" spans="8:14" x14ac:dyDescent="0.25">
      <c r="H149" s="260"/>
      <c r="N149" s="260"/>
    </row>
    <row r="150" spans="8:14" x14ac:dyDescent="0.25">
      <c r="H150" s="260"/>
      <c r="N150" s="260"/>
    </row>
    <row r="151" spans="8:14" x14ac:dyDescent="0.25">
      <c r="H151" s="260"/>
      <c r="N151" s="260"/>
    </row>
    <row r="162" spans="2:20" x14ac:dyDescent="0.25">
      <c r="C162" s="260"/>
    </row>
    <row r="163" spans="2:20" x14ac:dyDescent="0.25">
      <c r="B163" s="260"/>
      <c r="D163" s="387"/>
      <c r="E163" s="387"/>
      <c r="F163" s="260"/>
      <c r="G163" s="260"/>
      <c r="H163" s="260"/>
      <c r="I163" s="260"/>
      <c r="J163" s="387"/>
      <c r="K163" s="387"/>
      <c r="L163" s="387"/>
      <c r="M163" s="260"/>
      <c r="N163" s="260"/>
    </row>
    <row r="166" spans="2:20" x14ac:dyDescent="0.25">
      <c r="C166" s="260"/>
    </row>
    <row r="167" spans="2:20" x14ac:dyDescent="0.25">
      <c r="B167" s="260"/>
      <c r="C167" s="260"/>
      <c r="D167" s="387"/>
      <c r="E167" s="387"/>
      <c r="F167" s="260"/>
      <c r="G167" s="260"/>
      <c r="H167" s="260"/>
      <c r="I167" s="260"/>
      <c r="J167" s="387"/>
      <c r="K167" s="387"/>
      <c r="L167" s="387"/>
      <c r="M167" s="260"/>
      <c r="N167" s="260"/>
    </row>
    <row r="168" spans="2:20" x14ac:dyDescent="0.25">
      <c r="B168" s="260"/>
      <c r="C168" s="260"/>
      <c r="D168" s="387"/>
      <c r="E168" s="387"/>
      <c r="F168" s="260"/>
      <c r="G168" s="260"/>
      <c r="H168" s="260"/>
      <c r="I168" s="260"/>
      <c r="J168" s="387"/>
      <c r="K168" s="387"/>
      <c r="L168" s="387"/>
      <c r="M168" s="260"/>
      <c r="N168" s="260"/>
      <c r="O168" s="258"/>
      <c r="P168" s="258"/>
      <c r="Q168" s="258"/>
      <c r="R168" s="258"/>
      <c r="S168" s="258"/>
      <c r="T168" s="258"/>
    </row>
    <row r="169" spans="2:20" x14ac:dyDescent="0.25">
      <c r="B169" s="260"/>
      <c r="C169" s="260"/>
      <c r="D169" s="387"/>
      <c r="E169" s="387"/>
      <c r="F169" s="260"/>
      <c r="G169" s="260"/>
      <c r="H169" s="260"/>
      <c r="I169" s="260"/>
      <c r="J169" s="387"/>
      <c r="K169" s="387"/>
      <c r="L169" s="387"/>
      <c r="M169" s="260"/>
      <c r="N169" s="260"/>
    </row>
    <row r="170" spans="2:20" x14ac:dyDescent="0.25">
      <c r="B170" s="260"/>
      <c r="D170" s="387"/>
      <c r="E170" s="387"/>
      <c r="F170" s="260"/>
      <c r="G170" s="260"/>
      <c r="H170" s="260"/>
      <c r="I170" s="260"/>
      <c r="J170" s="387"/>
      <c r="K170" s="387"/>
      <c r="L170" s="387"/>
      <c r="M170" s="260"/>
      <c r="N170" s="260"/>
    </row>
    <row r="171" spans="2:20" x14ac:dyDescent="0.25">
      <c r="C171" s="260"/>
    </row>
    <row r="172" spans="2:20" x14ac:dyDescent="0.25">
      <c r="B172" s="260"/>
      <c r="D172" s="387"/>
      <c r="E172" s="387"/>
      <c r="F172" s="260"/>
      <c r="G172" s="260"/>
      <c r="H172" s="260"/>
      <c r="I172" s="260"/>
      <c r="J172" s="387"/>
      <c r="K172" s="387"/>
      <c r="L172" s="387"/>
      <c r="M172" s="260"/>
      <c r="N172" s="260"/>
    </row>
  </sheetData>
  <printOptions horizontalCentered="1"/>
  <pageMargins left="0.5" right="0.5" top="0.75" bottom="0.75" header="0.18" footer="0.5"/>
  <pageSetup scale="66" orientation="portrait" r:id="rId1"/>
  <headerFooter alignWithMargins="0"/>
  <rowBreaks count="1" manualBreakCount="1">
    <brk id="8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5" transitionEvaluation="1" transitionEntry="1">
    <pageSetUpPr fitToPage="1"/>
  </sheetPr>
  <dimension ref="A1:L233"/>
  <sheetViews>
    <sheetView showGridLines="0" zoomScale="136" zoomScaleNormal="136" workbookViewId="0">
      <pane xSplit="1" ySplit="3" topLeftCell="B45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329</v>
      </c>
      <c r="F2" s="42" t="s">
        <v>359</v>
      </c>
      <c r="G2" s="42" t="s">
        <v>381</v>
      </c>
    </row>
    <row r="3" spans="1:12" ht="15" customHeight="1" thickBot="1" x14ac:dyDescent="0.3">
      <c r="A3" s="488"/>
      <c r="B3" s="489"/>
      <c r="C3" s="489"/>
      <c r="D3" s="489"/>
      <c r="E3" s="489"/>
      <c r="F3" s="489"/>
      <c r="G3" s="489" t="s">
        <v>43</v>
      </c>
    </row>
    <row r="4" spans="1:12" ht="13.65" customHeight="1" x14ac:dyDescent="0.25">
      <c r="A4" s="487" t="s">
        <v>44</v>
      </c>
      <c r="J4" s="44"/>
    </row>
    <row r="5" spans="1:12" ht="12" customHeight="1" x14ac:dyDescent="0.25">
      <c r="A5" s="45" t="s">
        <v>2</v>
      </c>
      <c r="E5" s="511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1.7829999999999999</v>
      </c>
      <c r="G7" s="50">
        <v>2.3319999999999999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>
        <v>2.302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8">
        <v>7422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170.85300000000001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216.774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123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63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186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30.774000000000001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16.545161290322579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12.5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0.76700000000000002</v>
      </c>
      <c r="G38" s="50">
        <v>0.70399999999999996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0.747</v>
      </c>
      <c r="G39" s="50">
        <v>0.68500000000000005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f>F48/F39*100</f>
        <v>7964.390896921017</v>
      </c>
      <c r="G43" s="58">
        <v>8282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59.494</v>
      </c>
      <c r="G48" s="70">
        <v>56.73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64">
        <v>4.2060000000000004</v>
      </c>
      <c r="E49" s="70">
        <v>5.5590000000000002</v>
      </c>
      <c r="F49" s="70">
        <v>7.5519999999999996</v>
      </c>
      <c r="G49" s="70">
        <v>6.7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78.263999999999996</v>
      </c>
      <c r="G50" s="70">
        <f>G47+G48+G49</f>
        <v>74.144000000000005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36.719000000000001</v>
      </c>
      <c r="E52" s="57">
        <v>35.29</v>
      </c>
      <c r="F52" s="57">
        <v>37.985999999999997</v>
      </c>
      <c r="G52" s="57">
        <v>35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60.563000000000002</v>
      </c>
      <c r="E54" s="54">
        <f t="shared" ref="E54" si="4">E52+E53</f>
        <v>62.625</v>
      </c>
      <c r="F54" s="54">
        <f t="shared" ref="F54:G54" si="5">F52+F53</f>
        <v>67.55</v>
      </c>
      <c r="G54" s="54">
        <f t="shared" si="5"/>
        <v>63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11.144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12.619916450638177</v>
      </c>
      <c r="E60" s="53">
        <f t="shared" ref="E60" si="7">E56/E54*100</f>
        <v>16.26187624750499</v>
      </c>
      <c r="F60" s="53">
        <f t="shared" ref="F60:G60" si="8">F56/F54*100</f>
        <v>15.860843819393045</v>
      </c>
      <c r="G60" s="53">
        <f t="shared" si="8"/>
        <v>17.68888888888889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s="52" customFormat="1" ht="13.65" customHeight="1" x14ac:dyDescent="0.25">
      <c r="A63" s="45" t="s">
        <v>52</v>
      </c>
      <c r="B63" s="74"/>
      <c r="C63" s="74"/>
      <c r="D63" s="74"/>
      <c r="E63" s="74"/>
      <c r="F63" s="74"/>
      <c r="G63" s="74"/>
      <c r="H63" s="53"/>
      <c r="I63" s="53"/>
      <c r="J63" s="53"/>
    </row>
    <row r="64" spans="1:12" s="52" customFormat="1" ht="13.65" customHeight="1" x14ac:dyDescent="0.25">
      <c r="A64" s="45" t="s">
        <v>53</v>
      </c>
      <c r="B64" s="64">
        <v>15.3</v>
      </c>
      <c r="C64" s="64">
        <v>13.1</v>
      </c>
      <c r="D64" s="64">
        <v>17</v>
      </c>
      <c r="E64" s="64">
        <v>18.5</v>
      </c>
      <c r="F64" s="64">
        <v>18.2</v>
      </c>
      <c r="G64" s="64">
        <v>17.3</v>
      </c>
      <c r="H64" s="53"/>
      <c r="I64" s="53"/>
      <c r="J64" s="53"/>
    </row>
    <row r="65" spans="1:10" s="52" customFormat="1" ht="13.65" customHeight="1" x14ac:dyDescent="0.25">
      <c r="A65" s="45"/>
      <c r="B65" s="64"/>
      <c r="C65" s="64"/>
      <c r="D65" s="64"/>
      <c r="E65" s="64"/>
      <c r="F65" s="64"/>
      <c r="G65" s="64"/>
      <c r="H65" s="53"/>
      <c r="I65" s="53"/>
      <c r="J65" s="53"/>
    </row>
    <row r="66" spans="1:10" s="52" customFormat="1" ht="13.65" customHeight="1" x14ac:dyDescent="0.25">
      <c r="A66" s="45" t="s">
        <v>54</v>
      </c>
      <c r="B66" s="64">
        <v>18.100000000000001</v>
      </c>
      <c r="C66" s="64">
        <v>14.1</v>
      </c>
      <c r="D66" s="64">
        <v>20.100000000000001</v>
      </c>
      <c r="E66" s="64">
        <v>21.1</v>
      </c>
      <c r="F66" s="64">
        <v>21.6</v>
      </c>
      <c r="G66" s="64">
        <v>19.3</v>
      </c>
      <c r="H66" s="53"/>
      <c r="I66" s="53"/>
      <c r="J66" s="53"/>
    </row>
    <row r="67" spans="1:10" s="52" customFormat="1" ht="13.65" customHeight="1" x14ac:dyDescent="0.25">
      <c r="A67" s="45"/>
      <c r="B67" s="64"/>
      <c r="C67" s="64"/>
      <c r="D67" s="64"/>
      <c r="E67" s="64"/>
      <c r="F67" s="64"/>
      <c r="G67" s="64"/>
      <c r="H67" s="53"/>
      <c r="I67" s="53"/>
      <c r="J67" s="53"/>
    </row>
    <row r="68" spans="1:10" ht="13.65" customHeight="1" x14ac:dyDescent="0.25">
      <c r="A68" s="61" t="s">
        <v>55</v>
      </c>
      <c r="B68" s="63">
        <v>11.2</v>
      </c>
      <c r="C68" s="63">
        <v>10.1</v>
      </c>
      <c r="D68" s="63">
        <v>11.7</v>
      </c>
      <c r="E68" s="63">
        <v>12.3</v>
      </c>
      <c r="F68" s="63">
        <v>11.6</v>
      </c>
      <c r="G68" s="63">
        <v>12.9</v>
      </c>
      <c r="H68" s="44"/>
      <c r="I68" s="44"/>
      <c r="J68" s="44"/>
    </row>
    <row r="69" spans="1:10" ht="10.5" customHeight="1" x14ac:dyDescent="0.25">
      <c r="A69" s="61"/>
      <c r="B69" s="75"/>
      <c r="C69" s="75"/>
      <c r="D69" s="75"/>
      <c r="E69" s="75"/>
      <c r="F69" s="75"/>
      <c r="G69" s="75"/>
      <c r="H69" s="44"/>
      <c r="I69" s="44"/>
      <c r="J69" s="44"/>
    </row>
    <row r="70" spans="1:10" ht="10.5" customHeight="1" x14ac:dyDescent="0.25">
      <c r="A70" s="45" t="s">
        <v>17</v>
      </c>
    </row>
    <row r="71" spans="1:10" s="52" customFormat="1" ht="13.65" customHeight="1" x14ac:dyDescent="0.3">
      <c r="A71" s="76" t="s">
        <v>56</v>
      </c>
      <c r="B71" s="77">
        <v>2.8860000000000001</v>
      </c>
      <c r="C71" s="77">
        <v>3.5289999999999999</v>
      </c>
      <c r="D71" s="77">
        <v>1.413</v>
      </c>
      <c r="E71" s="77">
        <v>2.0619999999999998</v>
      </c>
      <c r="F71" s="502">
        <v>1.0269999999999999</v>
      </c>
      <c r="G71" s="502" t="s">
        <v>33</v>
      </c>
      <c r="H71" s="501"/>
      <c r="I71" s="53"/>
      <c r="J71" s="53"/>
    </row>
    <row r="72" spans="1:10" ht="13.65" customHeight="1" x14ac:dyDescent="0.25">
      <c r="A72" s="78" t="s">
        <v>449</v>
      </c>
    </row>
    <row r="73" spans="1:10" ht="13.65" customHeight="1" x14ac:dyDescent="0.25">
      <c r="A73" s="78" t="s">
        <v>450</v>
      </c>
    </row>
    <row r="74" spans="1:10" ht="13.65" customHeight="1" x14ac:dyDescent="0.25">
      <c r="A74" s="78" t="s">
        <v>348</v>
      </c>
    </row>
    <row r="75" spans="1:10" ht="13.65" customHeight="1" x14ac:dyDescent="0.25">
      <c r="A75" s="78" t="s">
        <v>447</v>
      </c>
    </row>
    <row r="76" spans="1:10" ht="15" customHeight="1" x14ac:dyDescent="0.25">
      <c r="A76" s="40" t="s">
        <v>448</v>
      </c>
    </row>
    <row r="77" spans="1:10" ht="13.5" customHeight="1" x14ac:dyDescent="0.25">
      <c r="A77" s="79" t="s">
        <v>349</v>
      </c>
    </row>
    <row r="78" spans="1:10" hidden="1" x14ac:dyDescent="0.25">
      <c r="A78" s="80"/>
    </row>
    <row r="79" spans="1:10" hidden="1" x14ac:dyDescent="0.25">
      <c r="A79" s="80" t="s">
        <v>59</v>
      </c>
    </row>
    <row r="80" spans="1:10" hidden="1" x14ac:dyDescent="0.25">
      <c r="A80" s="80" t="s">
        <v>60</v>
      </c>
    </row>
    <row r="81" spans="1:12" hidden="1" x14ac:dyDescent="0.25">
      <c r="A81" s="80" t="s">
        <v>61</v>
      </c>
    </row>
    <row r="82" spans="1:12" hidden="1" x14ac:dyDescent="0.25">
      <c r="A82" s="80"/>
    </row>
    <row r="83" spans="1:12" hidden="1" x14ac:dyDescent="0.25">
      <c r="A83" s="80"/>
    </row>
    <row r="84" spans="1:12" hidden="1" x14ac:dyDescent="0.25">
      <c r="A84" s="80">
        <v>43.191000000000003</v>
      </c>
    </row>
    <row r="85" spans="1:12" hidden="1" x14ac:dyDescent="0.25">
      <c r="A85" s="47">
        <v>8.103999999999985</v>
      </c>
    </row>
    <row r="86" spans="1:12" hidden="1" x14ac:dyDescent="0.25">
      <c r="A86" s="80"/>
      <c r="B86" s="47"/>
      <c r="C86" s="47"/>
      <c r="D86" s="47"/>
      <c r="E86" s="47"/>
      <c r="F86" s="47"/>
      <c r="G86" s="47"/>
      <c r="H86" s="44"/>
      <c r="J86" s="44"/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I87" s="44"/>
      <c r="J87" s="44"/>
      <c r="L87" s="44"/>
    </row>
    <row r="88" spans="1:12" x14ac:dyDescent="0.25">
      <c r="A88" s="81" t="s">
        <v>62</v>
      </c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ht="12" x14ac:dyDescent="0.3">
      <c r="A89" s="40" t="s">
        <v>375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19" t="s">
        <v>438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5">
      <c r="A91" s="80"/>
      <c r="B91" s="47"/>
      <c r="C91" s="47"/>
      <c r="D91" s="47"/>
      <c r="E91" s="47"/>
      <c r="F91" s="47"/>
      <c r="G91" s="47"/>
      <c r="H91" s="44"/>
      <c r="J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I92" s="44"/>
      <c r="J92" s="44"/>
      <c r="L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</row>
    <row r="96" spans="1:12" x14ac:dyDescent="0.25">
      <c r="A96" s="80"/>
      <c r="B96" s="47"/>
      <c r="C96" s="47"/>
      <c r="D96" s="47"/>
      <c r="E96" s="47"/>
      <c r="F96" s="47"/>
      <c r="G96" s="47"/>
      <c r="H96" s="44"/>
      <c r="J96" s="44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I97" s="44"/>
      <c r="J97" s="44"/>
      <c r="L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</row>
    <row r="101" spans="1:12" x14ac:dyDescent="0.25">
      <c r="A101" s="80"/>
      <c r="B101" s="47"/>
      <c r="C101" s="47"/>
      <c r="D101" s="47"/>
      <c r="E101" s="47"/>
      <c r="F101" s="47"/>
      <c r="G101" s="47"/>
      <c r="H101" s="44"/>
      <c r="J101" s="44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I102" s="44"/>
      <c r="J102" s="44"/>
      <c r="L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</row>
    <row r="106" spans="1:12" x14ac:dyDescent="0.25">
      <c r="A106" s="80"/>
      <c r="B106" s="47"/>
      <c r="C106" s="47"/>
      <c r="D106" s="47"/>
      <c r="E106" s="47"/>
      <c r="F106" s="47"/>
      <c r="G106" s="47"/>
      <c r="H106" s="44"/>
      <c r="I106" s="44"/>
      <c r="J106" s="44"/>
      <c r="L106" s="44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</row>
    <row r="112" spans="1:12" x14ac:dyDescent="0.25">
      <c r="A112" s="80"/>
      <c r="B112" s="47"/>
      <c r="C112" s="47"/>
      <c r="D112" s="47"/>
      <c r="E112" s="47"/>
      <c r="F112" s="47"/>
      <c r="G112" s="47"/>
      <c r="H112" s="56"/>
      <c r="I112" s="56"/>
      <c r="J112" s="56"/>
      <c r="L112" s="44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</row>
    <row r="118" spans="1:12" x14ac:dyDescent="0.25">
      <c r="A118" s="80"/>
      <c r="B118" s="47"/>
      <c r="C118" s="47"/>
      <c r="D118" s="47"/>
      <c r="E118" s="47"/>
      <c r="F118" s="47"/>
      <c r="G118" s="47"/>
      <c r="H118" s="48"/>
      <c r="I118" s="48"/>
      <c r="J118" s="48"/>
      <c r="L118" s="44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</row>
    <row r="122" spans="1:12" x14ac:dyDescent="0.25">
      <c r="A122" s="80"/>
      <c r="B122" s="47"/>
      <c r="C122" s="47"/>
      <c r="D122" s="47"/>
      <c r="E122" s="47"/>
      <c r="F122" s="47"/>
      <c r="G122" s="47"/>
      <c r="H122" s="56"/>
      <c r="I122" s="56"/>
      <c r="J122" s="56"/>
      <c r="L122" s="44"/>
    </row>
    <row r="123" spans="1:12" x14ac:dyDescent="0.25">
      <c r="A123" s="80"/>
      <c r="B123" s="47"/>
      <c r="C123" s="47"/>
      <c r="D123" s="47"/>
      <c r="E123" s="47"/>
      <c r="F123" s="47"/>
      <c r="G123" s="47"/>
      <c r="H123" s="48"/>
      <c r="I123" s="48"/>
      <c r="J123" s="48"/>
      <c r="L123" s="44"/>
    </row>
    <row r="124" spans="1:12" x14ac:dyDescent="0.25">
      <c r="A124" s="80"/>
    </row>
    <row r="125" spans="1:12" x14ac:dyDescent="0.25">
      <c r="A125" s="80"/>
      <c r="B125" s="47"/>
      <c r="C125" s="47"/>
      <c r="D125" s="47"/>
      <c r="E125" s="47"/>
      <c r="F125" s="47"/>
      <c r="G125" s="47"/>
      <c r="H125" s="56"/>
      <c r="I125" s="56"/>
      <c r="J125" s="56"/>
      <c r="L125" s="44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  <c r="B139" s="47"/>
      <c r="C139" s="47"/>
      <c r="D139" s="47"/>
      <c r="E139" s="47"/>
      <c r="F139" s="47"/>
      <c r="G139" s="47"/>
      <c r="H139" s="48"/>
      <c r="J139" s="48"/>
    </row>
    <row r="140" spans="1:10" x14ac:dyDescent="0.25">
      <c r="A140" s="80"/>
    </row>
    <row r="141" spans="1:10" x14ac:dyDescent="0.25">
      <c r="A141" s="80"/>
      <c r="B141" s="47"/>
      <c r="C141" s="47"/>
      <c r="D141" s="47"/>
      <c r="E141" s="47"/>
      <c r="F141" s="47"/>
      <c r="G141" s="47"/>
      <c r="H141" s="48"/>
      <c r="I141" s="48"/>
      <c r="J141" s="48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</row>
    <row r="144" spans="1:10" x14ac:dyDescent="0.25">
      <c r="A144" s="80"/>
    </row>
    <row r="145" spans="1:10" x14ac:dyDescent="0.25">
      <c r="A145" s="80"/>
      <c r="B145" s="47"/>
      <c r="C145" s="47"/>
      <c r="D145" s="47"/>
      <c r="E145" s="47"/>
      <c r="F145" s="47"/>
      <c r="G145" s="47"/>
      <c r="H145" s="56"/>
      <c r="I145" s="56"/>
      <c r="J145" s="56"/>
    </row>
    <row r="146" spans="1:10" x14ac:dyDescent="0.25">
      <c r="A146" s="80"/>
      <c r="B146" s="47"/>
      <c r="C146" s="47"/>
      <c r="D146" s="47"/>
      <c r="E146" s="47"/>
      <c r="F146" s="47"/>
      <c r="G146" s="47"/>
      <c r="H146" s="44"/>
      <c r="J146" s="44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I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I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</row>
    <row r="157" spans="1:10" x14ac:dyDescent="0.25">
      <c r="A157" s="80"/>
      <c r="B157" s="47"/>
      <c r="C157" s="47"/>
      <c r="D157" s="47"/>
      <c r="E157" s="47"/>
      <c r="F157" s="47"/>
      <c r="G157" s="47"/>
      <c r="H157" s="44"/>
      <c r="I157" s="44"/>
      <c r="J157" s="44"/>
    </row>
    <row r="158" spans="1:10" x14ac:dyDescent="0.25">
      <c r="A158" s="80"/>
    </row>
    <row r="159" spans="1:10" x14ac:dyDescent="0.25">
      <c r="A159" s="80"/>
      <c r="B159" s="47"/>
      <c r="C159" s="47"/>
      <c r="D159" s="47"/>
      <c r="E159" s="47"/>
      <c r="F159" s="47"/>
      <c r="G159" s="47"/>
      <c r="H159" s="48"/>
      <c r="J159" s="48"/>
    </row>
    <row r="160" spans="1:10" x14ac:dyDescent="0.25">
      <c r="A160" s="80"/>
    </row>
    <row r="161" spans="1:10" x14ac:dyDescent="0.25">
      <c r="A161" s="80"/>
      <c r="B161" s="47"/>
      <c r="C161" s="47"/>
      <c r="D161" s="47"/>
      <c r="E161" s="47"/>
      <c r="F161" s="47"/>
      <c r="G161" s="47"/>
      <c r="H161" s="48"/>
      <c r="I161" s="48"/>
      <c r="J161" s="48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</row>
    <row r="164" spans="1:10" x14ac:dyDescent="0.25">
      <c r="A164" s="80"/>
    </row>
    <row r="165" spans="1:10" x14ac:dyDescent="0.25">
      <c r="A165" s="80"/>
      <c r="B165" s="47"/>
      <c r="C165" s="47"/>
      <c r="D165" s="47"/>
      <c r="E165" s="47"/>
      <c r="F165" s="47"/>
      <c r="G165" s="47"/>
      <c r="H165" s="56"/>
      <c r="I165" s="56"/>
      <c r="J165" s="56"/>
    </row>
    <row r="166" spans="1:10" x14ac:dyDescent="0.25">
      <c r="A166" s="80"/>
      <c r="B166" s="47"/>
      <c r="C166" s="47"/>
      <c r="D166" s="47"/>
      <c r="E166" s="47"/>
      <c r="F166" s="47"/>
      <c r="G166" s="47"/>
      <c r="H166" s="44"/>
      <c r="J166" s="44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I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I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</row>
    <row r="177" spans="1:11" x14ac:dyDescent="0.25">
      <c r="A177" s="80"/>
      <c r="B177" s="47"/>
      <c r="C177" s="47"/>
      <c r="D177" s="47"/>
      <c r="E177" s="47"/>
      <c r="F177" s="47"/>
      <c r="G177" s="47"/>
      <c r="H177" s="44"/>
      <c r="I177" s="44"/>
      <c r="J177" s="44"/>
    </row>
    <row r="178" spans="1:11" x14ac:dyDescent="0.25">
      <c r="A178" s="80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  <c r="I183" s="56"/>
    </row>
    <row r="184" spans="1:11" x14ac:dyDescent="0.25">
      <c r="A184" s="80"/>
    </row>
    <row r="185" spans="1:11" x14ac:dyDescent="0.25">
      <c r="A185" s="80"/>
    </row>
    <row r="186" spans="1:11" x14ac:dyDescent="0.25">
      <c r="A186" s="80"/>
      <c r="B186" s="47"/>
      <c r="C186" s="47"/>
      <c r="D186" s="47"/>
      <c r="E186" s="47"/>
      <c r="F186" s="47"/>
      <c r="G186" s="47"/>
      <c r="H186" s="56"/>
      <c r="I186" s="56"/>
      <c r="J186" s="56"/>
      <c r="K186" s="56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I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</row>
    <row r="223" spans="1:11" x14ac:dyDescent="0.25">
      <c r="A223" s="80"/>
    </row>
    <row r="224" spans="1:11" x14ac:dyDescent="0.25">
      <c r="A224" s="80"/>
      <c r="B224" s="47"/>
      <c r="C224" s="47"/>
      <c r="D224" s="47"/>
      <c r="E224" s="47"/>
      <c r="F224" s="47"/>
      <c r="G224" s="47"/>
      <c r="H224" s="44"/>
      <c r="J224" s="44"/>
    </row>
    <row r="225" spans="1:10" x14ac:dyDescent="0.25">
      <c r="A225" s="80"/>
      <c r="B225" s="47"/>
      <c r="C225" s="47"/>
      <c r="D225" s="47"/>
      <c r="E225" s="47"/>
      <c r="F225" s="47"/>
      <c r="G225" s="47"/>
      <c r="H225" s="82"/>
      <c r="I225" s="82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</row>
  </sheetData>
  <printOptions horizontalCentered="1"/>
  <pageMargins left="0.5" right="0.5" top="0.75" bottom="0.5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6" sqref="E16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381</v>
      </c>
      <c r="E2" s="92"/>
      <c r="F2" s="88"/>
      <c r="G2" s="90"/>
      <c r="H2" s="91" t="s">
        <v>359</v>
      </c>
      <c r="I2" s="92"/>
      <c r="J2" s="88"/>
      <c r="K2" s="90"/>
      <c r="L2" s="91" t="s">
        <v>329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15.8</v>
      </c>
      <c r="D6" s="505"/>
      <c r="E6" s="508">
        <v>5768</v>
      </c>
      <c r="F6" s="109"/>
      <c r="G6" s="108">
        <v>12.8</v>
      </c>
      <c r="H6" s="505"/>
      <c r="I6" s="508">
        <v>10188</v>
      </c>
      <c r="J6" s="109"/>
      <c r="K6" s="108">
        <v>14.3</v>
      </c>
      <c r="L6" s="505"/>
      <c r="M6" s="492">
        <v>4421</v>
      </c>
      <c r="N6" s="109"/>
      <c r="O6" s="93"/>
    </row>
    <row r="7" spans="1:32" x14ac:dyDescent="0.25">
      <c r="A7" s="89" t="s">
        <v>68</v>
      </c>
      <c r="B7" s="89"/>
      <c r="C7" s="108">
        <v>13.7</v>
      </c>
      <c r="D7" s="505"/>
      <c r="E7" s="508">
        <v>8281</v>
      </c>
      <c r="G7" s="108">
        <v>12.3</v>
      </c>
      <c r="H7" s="505"/>
      <c r="I7" s="508">
        <v>9309</v>
      </c>
      <c r="K7" s="108">
        <v>12.4</v>
      </c>
      <c r="L7" s="505"/>
      <c r="M7" s="492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>
        <v>13.1</v>
      </c>
      <c r="D8" s="505"/>
      <c r="E8" s="508">
        <v>16110</v>
      </c>
      <c r="F8" s="111"/>
      <c r="G8" s="108">
        <v>12.8</v>
      </c>
      <c r="H8" s="505"/>
      <c r="I8" s="508">
        <v>15100</v>
      </c>
      <c r="J8" s="111"/>
      <c r="K8" s="108">
        <v>12.4</v>
      </c>
      <c r="L8" s="505"/>
      <c r="M8" s="492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>
        <v>13.4</v>
      </c>
      <c r="D9" s="505"/>
      <c r="E9" s="508">
        <v>14925</v>
      </c>
      <c r="G9" s="108">
        <v>13.5</v>
      </c>
      <c r="H9" s="506"/>
      <c r="I9" s="508">
        <v>11761</v>
      </c>
      <c r="K9" s="108">
        <v>13</v>
      </c>
      <c r="L9" s="505"/>
      <c r="M9" s="492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>
        <v>13.5</v>
      </c>
      <c r="D10" s="506"/>
      <c r="E10" s="508">
        <v>20834</v>
      </c>
      <c r="G10" s="108">
        <v>12.8</v>
      </c>
      <c r="H10" s="506"/>
      <c r="I10" s="508">
        <v>17379</v>
      </c>
      <c r="K10" s="108">
        <v>12.7</v>
      </c>
      <c r="L10" s="506"/>
      <c r="M10" s="492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>
        <v>13.4</v>
      </c>
      <c r="D11" s="112"/>
      <c r="E11" s="508">
        <v>22898</v>
      </c>
      <c r="G11" s="108">
        <v>14.1</v>
      </c>
      <c r="H11" s="506"/>
      <c r="I11" s="508">
        <v>20295</v>
      </c>
      <c r="K11" s="108">
        <v>13.5</v>
      </c>
      <c r="L11" s="506"/>
      <c r="M11" s="492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>
        <v>13.7</v>
      </c>
      <c r="D12" s="112"/>
      <c r="E12" s="508">
        <v>14092</v>
      </c>
      <c r="G12" s="108">
        <v>13.7</v>
      </c>
      <c r="H12" s="506"/>
      <c r="I12" s="508">
        <v>12443</v>
      </c>
      <c r="K12" s="108">
        <v>12.4</v>
      </c>
      <c r="L12" s="506"/>
      <c r="M12" s="492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08"/>
      <c r="G13" s="108">
        <v>13.8</v>
      </c>
      <c r="H13" s="506"/>
      <c r="I13" s="508">
        <v>14054</v>
      </c>
      <c r="K13" s="108">
        <v>11.9</v>
      </c>
      <c r="L13" s="506"/>
      <c r="M13" s="492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08"/>
      <c r="G14" s="108">
        <v>14.1</v>
      </c>
      <c r="H14" s="506"/>
      <c r="I14" s="508">
        <v>9973</v>
      </c>
      <c r="K14" s="108">
        <v>12</v>
      </c>
      <c r="L14" s="506"/>
      <c r="M14" s="492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08"/>
      <c r="G15" s="108">
        <v>14.5</v>
      </c>
      <c r="H15" s="506"/>
      <c r="I15" s="508">
        <v>8134</v>
      </c>
      <c r="K15" s="108">
        <v>11.9</v>
      </c>
      <c r="L15" s="506"/>
      <c r="M15" s="492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08"/>
      <c r="G16" s="114">
        <v>14.9</v>
      </c>
      <c r="H16" s="506"/>
      <c r="I16" s="508">
        <v>7584</v>
      </c>
      <c r="K16" s="108">
        <v>12.2</v>
      </c>
      <c r="L16" s="506"/>
      <c r="M16" s="492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08"/>
      <c r="F17" s="115"/>
      <c r="G17" s="114">
        <v>14.7</v>
      </c>
      <c r="H17" s="506"/>
      <c r="I17" s="508">
        <v>6658</v>
      </c>
      <c r="K17" s="114">
        <v>12.9</v>
      </c>
      <c r="L17" s="506"/>
      <c r="M17" s="507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G18" s="114"/>
      <c r="H18" s="112"/>
      <c r="I18" s="508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16" t="s">
        <v>410</v>
      </c>
      <c r="B19" s="516"/>
      <c r="C19" s="517">
        <f>(C6*E6/E22)+(C7*E7/E22)+(C8*E8/E22)+(C9*E9/E22)+(C10*E10/E22)+(C11*E11/E22)+(C12*E12/E22)+(C13*E13/E22)+(C14*E14/E22)+(C15*E15/E22)+(C16*E16/E22)+(C17*E17/E22)</f>
        <v>13.573023477280678</v>
      </c>
      <c r="D19" s="118" t="s">
        <v>411</v>
      </c>
      <c r="G19" s="517"/>
      <c r="H19" s="118"/>
      <c r="I19" s="107"/>
      <c r="K19" s="517"/>
      <c r="L19" s="118"/>
      <c r="M19" s="107"/>
      <c r="AD19" s="518"/>
      <c r="AE19" s="166"/>
    </row>
    <row r="20" spans="1:32" x14ac:dyDescent="0.25">
      <c r="A20" s="88" t="s">
        <v>78</v>
      </c>
      <c r="B20" s="89"/>
      <c r="C20" s="145">
        <v>13.7</v>
      </c>
      <c r="D20" s="119"/>
      <c r="E20" s="120"/>
      <c r="G20" s="145">
        <v>13.6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14701.142857142857</v>
      </c>
      <c r="G21" s="113"/>
      <c r="I21" s="121">
        <f>AVERAGE(I6:I17)</f>
        <v>11906.5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102908</v>
      </c>
      <c r="F22" s="124"/>
      <c r="G22" s="122"/>
      <c r="H22" s="122"/>
      <c r="I22" s="123">
        <f>SUM(I6:I17)</f>
        <v>142878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451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438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1" transitionEvaluation="1">
    <pageSetUpPr fitToPage="1"/>
  </sheetPr>
  <dimension ref="A1:AL34"/>
  <sheetViews>
    <sheetView showGridLines="0" topLeftCell="A11" zoomScale="120" zoomScaleNormal="120" workbookViewId="0">
      <selection activeCell="L31" sqref="L31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383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381</v>
      </c>
      <c r="D3" s="138"/>
      <c r="E3" s="139"/>
      <c r="F3" s="136"/>
      <c r="G3" s="137" t="s">
        <v>359</v>
      </c>
      <c r="H3" s="138"/>
      <c r="I3" s="88"/>
      <c r="J3" s="136"/>
      <c r="K3" s="486" t="str">
        <f>C3</f>
        <v>2020/21</v>
      </c>
      <c r="L3" s="138"/>
      <c r="M3" s="139"/>
      <c r="N3" s="136"/>
      <c r="O3" s="486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08">
        <v>3415</v>
      </c>
      <c r="E7" s="144"/>
      <c r="F7" s="142">
        <v>10.9</v>
      </c>
      <c r="G7" s="142"/>
      <c r="H7" s="508">
        <v>7905</v>
      </c>
      <c r="I7" s="109"/>
      <c r="J7" s="142">
        <v>18.899999999999999</v>
      </c>
      <c r="K7" s="142"/>
      <c r="L7" s="508">
        <v>2353</v>
      </c>
      <c r="M7" s="109"/>
      <c r="N7" s="142">
        <v>19.399999999999999</v>
      </c>
      <c r="O7" s="142"/>
      <c r="P7" s="508">
        <v>2283</v>
      </c>
      <c r="Q7" s="109"/>
      <c r="R7" s="121"/>
    </row>
    <row r="8" spans="1:35" x14ac:dyDescent="0.25">
      <c r="A8" s="89" t="s">
        <v>68</v>
      </c>
      <c r="B8" s="142">
        <v>12.6</v>
      </c>
      <c r="C8" s="142"/>
      <c r="D8" s="508">
        <v>6534</v>
      </c>
      <c r="E8" s="144"/>
      <c r="F8" s="142">
        <v>11.2</v>
      </c>
      <c r="G8" s="142"/>
      <c r="H8" s="508">
        <v>7843</v>
      </c>
      <c r="J8" s="142">
        <v>17.7</v>
      </c>
      <c r="K8" s="142"/>
      <c r="L8" s="508">
        <v>1747</v>
      </c>
      <c r="N8" s="142">
        <v>18.100000000000001</v>
      </c>
      <c r="O8" s="142"/>
      <c r="P8" s="508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>
        <v>12.2</v>
      </c>
      <c r="C9" s="142"/>
      <c r="D9" s="508">
        <v>13026</v>
      </c>
      <c r="E9" s="144"/>
      <c r="F9" s="142">
        <v>11.4</v>
      </c>
      <c r="G9" s="142"/>
      <c r="H9" s="508">
        <v>11758</v>
      </c>
      <c r="I9" s="111"/>
      <c r="J9" s="142">
        <v>17.2</v>
      </c>
      <c r="K9" s="142"/>
      <c r="L9" s="508">
        <v>3084</v>
      </c>
      <c r="N9" s="142">
        <v>17.8</v>
      </c>
      <c r="O9" s="142"/>
      <c r="P9" s="508">
        <v>3342</v>
      </c>
      <c r="R9" s="110"/>
      <c r="AG9" s="110"/>
      <c r="AH9" s="109"/>
      <c r="AI9" s="110"/>
    </row>
    <row r="10" spans="1:35" x14ac:dyDescent="0.25">
      <c r="A10" s="89" t="s">
        <v>70</v>
      </c>
      <c r="B10" s="142">
        <v>12.1</v>
      </c>
      <c r="C10" s="142"/>
      <c r="D10" s="508">
        <v>10755</v>
      </c>
      <c r="E10" s="144"/>
      <c r="F10" s="142">
        <v>11.6</v>
      </c>
      <c r="G10" s="142"/>
      <c r="H10" s="508">
        <v>8599</v>
      </c>
      <c r="J10" s="142">
        <v>16.600000000000001</v>
      </c>
      <c r="K10" s="142"/>
      <c r="L10" s="508">
        <v>4170</v>
      </c>
      <c r="N10" s="142">
        <v>18.7</v>
      </c>
      <c r="O10" s="142"/>
      <c r="P10" s="508">
        <v>3162</v>
      </c>
      <c r="R10" s="110"/>
      <c r="AG10" s="110"/>
      <c r="AH10" s="109"/>
      <c r="AI10" s="110"/>
    </row>
    <row r="11" spans="1:35" x14ac:dyDescent="0.25">
      <c r="A11" s="89" t="s">
        <v>71</v>
      </c>
      <c r="B11" s="142">
        <v>12.3</v>
      </c>
      <c r="C11" s="142"/>
      <c r="D11" s="508">
        <v>16135</v>
      </c>
      <c r="E11" s="144"/>
      <c r="F11" s="142">
        <v>11.7</v>
      </c>
      <c r="G11" s="142"/>
      <c r="H11" s="508">
        <v>14331</v>
      </c>
      <c r="J11" s="142">
        <v>17.899999999999999</v>
      </c>
      <c r="K11" s="142"/>
      <c r="L11" s="508">
        <v>4699</v>
      </c>
      <c r="N11" s="142">
        <v>17.899999999999999</v>
      </c>
      <c r="O11" s="142"/>
      <c r="P11" s="508">
        <v>3048</v>
      </c>
      <c r="R11" s="110"/>
      <c r="AG11" s="110"/>
      <c r="AH11" s="109"/>
      <c r="AI11" s="110"/>
    </row>
    <row r="12" spans="1:35" x14ac:dyDescent="0.25">
      <c r="A12" s="89" t="s">
        <v>72</v>
      </c>
      <c r="B12" s="108">
        <v>12.4</v>
      </c>
      <c r="C12" s="143"/>
      <c r="D12" s="508">
        <v>18019</v>
      </c>
      <c r="E12" s="144"/>
      <c r="F12" s="108">
        <v>12</v>
      </c>
      <c r="G12" s="526"/>
      <c r="H12" s="508">
        <v>14765</v>
      </c>
      <c r="J12" s="108">
        <v>17.2</v>
      </c>
      <c r="K12" s="143"/>
      <c r="L12" s="508">
        <v>4879</v>
      </c>
      <c r="M12" s="113"/>
      <c r="N12" s="108">
        <v>19.8</v>
      </c>
      <c r="O12" s="526"/>
      <c r="P12" s="508">
        <v>5530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>
        <v>12.5</v>
      </c>
      <c r="C13" s="143"/>
      <c r="D13" s="508">
        <v>11129</v>
      </c>
      <c r="E13" s="116"/>
      <c r="F13" s="108">
        <v>12.5</v>
      </c>
      <c r="G13" s="526"/>
      <c r="H13" s="508">
        <v>9684</v>
      </c>
      <c r="J13" s="108">
        <v>17.899999999999999</v>
      </c>
      <c r="K13" s="143"/>
      <c r="L13" s="508">
        <v>2963</v>
      </c>
      <c r="M13" s="113"/>
      <c r="N13" s="108">
        <v>17.899999999999999</v>
      </c>
      <c r="O13" s="526"/>
      <c r="P13" s="508">
        <v>2759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08"/>
      <c r="E14" s="144"/>
      <c r="F14" s="108">
        <v>12.6</v>
      </c>
      <c r="G14" s="526"/>
      <c r="H14" s="508">
        <v>10541</v>
      </c>
      <c r="J14" s="108"/>
      <c r="K14" s="143"/>
      <c r="L14" s="508"/>
      <c r="N14" s="108">
        <v>17.3</v>
      </c>
      <c r="O14" s="526"/>
      <c r="P14" s="508">
        <v>3513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08"/>
      <c r="E15" s="144"/>
      <c r="F15" s="108">
        <v>12.9</v>
      </c>
      <c r="G15" s="526"/>
      <c r="H15" s="508">
        <v>7292</v>
      </c>
      <c r="J15" s="108"/>
      <c r="K15" s="143"/>
      <c r="L15" s="508"/>
      <c r="M15" s="113"/>
      <c r="N15" s="108">
        <v>17.399999999999999</v>
      </c>
      <c r="O15" s="526"/>
      <c r="P15" s="508">
        <v>2681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08"/>
      <c r="E16" s="144"/>
      <c r="F16" s="108">
        <v>12.9</v>
      </c>
      <c r="G16" s="526"/>
      <c r="H16" s="508">
        <v>5541</v>
      </c>
      <c r="J16" s="108"/>
      <c r="K16" s="143"/>
      <c r="L16" s="508"/>
      <c r="N16" s="108">
        <v>17.8</v>
      </c>
      <c r="O16" s="526"/>
      <c r="P16" s="508">
        <v>2593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08"/>
      <c r="E17" s="144"/>
      <c r="F17" s="108">
        <v>13.4</v>
      </c>
      <c r="G17" s="526"/>
      <c r="H17" s="508">
        <v>5311</v>
      </c>
      <c r="J17" s="108"/>
      <c r="K17" s="143"/>
      <c r="L17" s="508"/>
      <c r="M17" s="113"/>
      <c r="N17" s="108">
        <v>18.399999999999999</v>
      </c>
      <c r="O17" s="526"/>
      <c r="P17" s="508">
        <v>2273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09"/>
      <c r="E18" s="144"/>
      <c r="F18" s="108">
        <v>13.2</v>
      </c>
      <c r="G18" s="526"/>
      <c r="H18" s="509">
        <v>4115</v>
      </c>
      <c r="J18" s="108"/>
      <c r="K18" s="143"/>
      <c r="L18" s="509"/>
      <c r="M18" s="113"/>
      <c r="N18" s="108">
        <v>17.2</v>
      </c>
      <c r="O18" s="526"/>
      <c r="P18" s="509">
        <v>2543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16" t="s">
        <v>412</v>
      </c>
      <c r="B20" s="151">
        <f>(B7*D7/D24)+(B8*D8/D24)+(B9*D9/D24)+(B10*D10/D24)+(B11*D11/D24)+(B12*D12/D24)+( B13*D13/D24)+(B14*D14/D24)+(B15*D15/D24)+(B16*D16/D24)+(B17*D17/D24)+(B18*D18/D24)</f>
        <v>12.38826142533507</v>
      </c>
      <c r="F20" s="151"/>
      <c r="J20" s="151">
        <f>(J7*L7/L24)+(J8*L8/L24)+(J9*L9/L24)+(J10*L10/L24)+(J11*L11/L24)+(J12*L12/L24)+( J13*L13/L24)+(J14*L14/L24)+(J15*L15/L24)+(J16*L16/L24)+(J17*L17/L24)+(J18*L18/L24)</f>
        <v>17.523707888679638</v>
      </c>
      <c r="K20" s="111"/>
      <c r="N20" s="151"/>
      <c r="O20" s="111"/>
      <c r="R20" s="519"/>
      <c r="AG20" s="518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06">
        <v>12.5</v>
      </c>
      <c r="C22" s="156"/>
      <c r="F22" s="406">
        <v>12</v>
      </c>
      <c r="G22" s="156"/>
      <c r="J22" s="155">
        <v>17.3</v>
      </c>
      <c r="K22" s="158"/>
      <c r="N22" s="155">
        <v>18.2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11287.571428571429</v>
      </c>
      <c r="E23" s="110"/>
      <c r="F23" s="113"/>
      <c r="G23" s="113"/>
      <c r="H23" s="146">
        <f>AVERAGE(H7:H18)</f>
        <v>8973.75</v>
      </c>
      <c r="J23" s="113"/>
      <c r="K23" s="113"/>
      <c r="L23" s="146">
        <f>AVERAGE(L7:L18)</f>
        <v>3413.5714285714284</v>
      </c>
      <c r="N23" s="113"/>
      <c r="O23" s="113"/>
      <c r="P23" s="146">
        <f>AVERAGE(P7:P18)</f>
        <v>2932.75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79013</v>
      </c>
      <c r="E24" s="149"/>
      <c r="F24" s="122"/>
      <c r="G24" s="122"/>
      <c r="H24" s="162">
        <f>SUM(H7:H18)</f>
        <v>107685</v>
      </c>
      <c r="I24" s="124"/>
      <c r="J24" s="122"/>
      <c r="K24" s="122"/>
      <c r="L24" s="162">
        <f>SUM(L7:L18)</f>
        <v>23895</v>
      </c>
      <c r="M24" s="124"/>
      <c r="N24" s="122"/>
      <c r="O24" s="122"/>
      <c r="P24" s="162">
        <f>SUM(P7:P18)</f>
        <v>35193</v>
      </c>
      <c r="Q24" s="124"/>
      <c r="R24" s="110"/>
      <c r="AG24" s="110"/>
      <c r="AH24" s="100"/>
      <c r="AI24" s="110"/>
    </row>
    <row r="25" spans="1:38" x14ac:dyDescent="0.25">
      <c r="A25" s="126" t="s">
        <v>385</v>
      </c>
      <c r="AK25" s="125"/>
      <c r="AL25" s="100"/>
    </row>
    <row r="26" spans="1:38" x14ac:dyDescent="0.25">
      <c r="A26" s="163" t="s">
        <v>384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392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438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BD31"/>
  <sheetViews>
    <sheetView showGridLines="0" zoomScale="120" zoomScaleNormal="120" workbookViewId="0">
      <selection activeCell="G21" sqref="G21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365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25" t="s">
        <v>381</v>
      </c>
      <c r="C4" s="417"/>
      <c r="D4" s="525" t="s">
        <v>359</v>
      </c>
      <c r="E4" s="180"/>
      <c r="F4" s="179" t="s">
        <v>64</v>
      </c>
      <c r="G4" s="515" t="s">
        <v>381</v>
      </c>
      <c r="H4" s="180"/>
      <c r="I4" s="515" t="s">
        <v>359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18.899999999999999</v>
      </c>
      <c r="C8" s="142"/>
      <c r="D8" s="142">
        <v>21.8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>
        <v>18.2</v>
      </c>
      <c r="C9" s="142"/>
      <c r="D9" s="142">
        <v>21.1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>
        <v>19.7</v>
      </c>
      <c r="C10" s="142"/>
      <c r="D10" s="142">
        <v>21.5</v>
      </c>
      <c r="E10" s="109"/>
      <c r="F10" s="187" t="s">
        <v>90</v>
      </c>
      <c r="G10" s="142">
        <v>12.6</v>
      </c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>
        <v>18</v>
      </c>
      <c r="C11" s="142"/>
      <c r="D11" s="186">
        <v>21.9</v>
      </c>
      <c r="E11" s="164"/>
      <c r="F11" s="163" t="s">
        <v>91</v>
      </c>
      <c r="G11" s="142">
        <v>12.6</v>
      </c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>
        <v>20.399999999999999</v>
      </c>
      <c r="C12" s="142"/>
      <c r="D12" s="186">
        <v>21.5</v>
      </c>
      <c r="F12" s="163" t="s">
        <v>93</v>
      </c>
      <c r="G12" s="142">
        <v>12.9</v>
      </c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/>
      <c r="C13" s="192"/>
      <c r="D13" s="186">
        <v>20.8</v>
      </c>
      <c r="E13" s="192"/>
      <c r="F13" s="163" t="s">
        <v>94</v>
      </c>
      <c r="G13" s="142">
        <v>12.9</v>
      </c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/>
      <c r="C14" s="192"/>
      <c r="D14" s="186">
        <v>21.4</v>
      </c>
      <c r="E14" s="192"/>
      <c r="F14" s="193" t="s">
        <v>95</v>
      </c>
      <c r="G14" s="142">
        <v>13.2</v>
      </c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/>
      <c r="D15" s="186">
        <v>22.2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/>
      <c r="D16" s="186">
        <v>21.5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/>
      <c r="D17" s="186">
        <v>21.6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/>
      <c r="D18" s="186">
        <v>21.2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/>
      <c r="D19" s="186">
        <v>21.8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B21" s="86">
        <f>AVERAGE(B8:B19)</f>
        <v>19.04</v>
      </c>
      <c r="G21" s="86">
        <f>AVERAGE(G8:G19)</f>
        <v>12.685714285714287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19.3</v>
      </c>
      <c r="C24" s="118" t="s">
        <v>328</v>
      </c>
      <c r="D24" s="195">
        <v>21.6</v>
      </c>
      <c r="E24" s="189"/>
      <c r="F24" s="189"/>
      <c r="G24" s="406">
        <v>12.9</v>
      </c>
      <c r="H24" s="118" t="s">
        <v>328</v>
      </c>
      <c r="I24" s="407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330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453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452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415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438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A14" sqref="A14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41" t="s">
        <v>381</v>
      </c>
      <c r="C2" s="541"/>
      <c r="D2" s="201"/>
      <c r="E2" s="541" t="s">
        <v>359</v>
      </c>
      <c r="F2" s="541"/>
      <c r="G2" s="106"/>
      <c r="H2" s="541" t="s">
        <v>329</v>
      </c>
      <c r="I2" s="541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431</v>
      </c>
      <c r="G3" s="202"/>
      <c r="H3" s="202"/>
      <c r="I3" s="203" t="s">
        <v>431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42" t="s">
        <v>106</v>
      </c>
      <c r="C6" s="542"/>
      <c r="D6" s="542"/>
      <c r="E6" s="542"/>
      <c r="F6" s="542"/>
      <c r="G6" s="542"/>
      <c r="H6" s="542"/>
      <c r="I6" s="542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417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93</v>
      </c>
      <c r="B12" s="86">
        <v>10.84</v>
      </c>
      <c r="C12" s="86">
        <v>11.22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94</v>
      </c>
      <c r="B13" s="192">
        <v>11.18</v>
      </c>
      <c r="C13" s="192">
        <v>11.57</v>
      </c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95</v>
      </c>
      <c r="B14" s="192">
        <v>11.48</v>
      </c>
      <c r="C14" s="192">
        <v>11.74</v>
      </c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379</v>
      </c>
      <c r="B15" s="86">
        <v>11.51</v>
      </c>
      <c r="C15" s="86">
        <v>11.76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439</v>
      </c>
      <c r="B16" s="86">
        <v>11.42</v>
      </c>
      <c r="C16" s="86">
        <v>11.67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363</v>
      </c>
      <c r="B22" s="197">
        <f>AVERAGE(B8:B19)</f>
        <v>11.072222222222225</v>
      </c>
      <c r="C22" s="197">
        <f>AVERAGE(C8:C19)</f>
        <v>11.426666666666666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454</v>
      </c>
      <c r="AA23" s="168"/>
    </row>
    <row r="24" spans="1:49" ht="11.25" customHeight="1" x14ac:dyDescent="0.25">
      <c r="A24" s="86" t="s">
        <v>455</v>
      </c>
      <c r="AA24" s="168"/>
    </row>
    <row r="25" spans="1:49" ht="10.5" customHeight="1" x14ac:dyDescent="0.3">
      <c r="A25" s="19" t="s">
        <v>438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13" transitionEvaluation="1" transitionEntry="1">
    <pageSetUpPr fitToPage="1"/>
  </sheetPr>
  <dimension ref="A1:S64"/>
  <sheetViews>
    <sheetView showGridLines="0" zoomScale="112" zoomScaleNormal="112" workbookViewId="0">
      <pane xSplit="1" ySplit="5" topLeftCell="I13" activePane="bottomRight" state="frozen"/>
      <selection pane="topRight" activeCell="B1" sqref="B1"/>
      <selection pane="bottomLeft" activeCell="A6" sqref="A6"/>
      <selection pane="bottomRight" activeCell="K13" sqref="K13"/>
    </sheetView>
  </sheetViews>
  <sheetFormatPr defaultColWidth="8.6640625" defaultRowHeight="11.5" x14ac:dyDescent="0.25"/>
  <cols>
    <col min="1" max="1" width="34.75" style="215" customWidth="1"/>
    <col min="2" max="2" width="12.25" style="215" customWidth="1"/>
    <col min="3" max="3" width="13" style="231" customWidth="1"/>
    <col min="4" max="4" width="12.6640625" style="215" customWidth="1"/>
    <col min="5" max="5" width="14.25" style="231" customWidth="1"/>
    <col min="6" max="6" width="13.4140625" style="234" customWidth="1"/>
    <col min="7" max="7" width="13.9140625" style="234" customWidth="1"/>
    <col min="8" max="12" width="14.6640625" style="234" customWidth="1"/>
    <col min="13" max="13" width="9.6640625" style="215" customWidth="1"/>
    <col min="14" max="14" width="12.6640625" style="215" customWidth="1"/>
    <col min="15" max="250" width="8.6640625" style="215"/>
    <col min="251" max="251" width="34.75" style="215" customWidth="1"/>
    <col min="252" max="252" width="10.75" style="215" customWidth="1"/>
    <col min="253" max="253" width="11.33203125" style="215" customWidth="1"/>
    <col min="254" max="254" width="12.25" style="215" customWidth="1"/>
    <col min="255" max="255" width="13" style="215" customWidth="1"/>
    <col min="256" max="256" width="12.6640625" style="215" customWidth="1"/>
    <col min="257" max="257" width="14.25" style="215" customWidth="1"/>
    <col min="258" max="259" width="13.4140625" style="215" customWidth="1"/>
    <col min="260" max="260" width="13.9140625" style="215" customWidth="1"/>
    <col min="261" max="269" width="9.6640625" style="215" customWidth="1"/>
    <col min="270" max="270" width="12.6640625" style="215" customWidth="1"/>
    <col min="271" max="506" width="8.6640625" style="215"/>
    <col min="507" max="507" width="34.75" style="215" customWidth="1"/>
    <col min="508" max="508" width="10.75" style="215" customWidth="1"/>
    <col min="509" max="509" width="11.33203125" style="215" customWidth="1"/>
    <col min="510" max="510" width="12.25" style="215" customWidth="1"/>
    <col min="511" max="511" width="13" style="215" customWidth="1"/>
    <col min="512" max="512" width="12.6640625" style="215" customWidth="1"/>
    <col min="513" max="513" width="14.25" style="215" customWidth="1"/>
    <col min="514" max="515" width="13.4140625" style="215" customWidth="1"/>
    <col min="516" max="516" width="13.9140625" style="215" customWidth="1"/>
    <col min="517" max="525" width="9.6640625" style="215" customWidth="1"/>
    <col min="526" max="526" width="12.6640625" style="215" customWidth="1"/>
    <col min="527" max="762" width="8.6640625" style="215"/>
    <col min="763" max="763" width="34.75" style="215" customWidth="1"/>
    <col min="764" max="764" width="10.75" style="215" customWidth="1"/>
    <col min="765" max="765" width="11.33203125" style="215" customWidth="1"/>
    <col min="766" max="766" width="12.25" style="215" customWidth="1"/>
    <col min="767" max="767" width="13" style="215" customWidth="1"/>
    <col min="768" max="768" width="12.6640625" style="215" customWidth="1"/>
    <col min="769" max="769" width="14.25" style="215" customWidth="1"/>
    <col min="770" max="771" width="13.4140625" style="215" customWidth="1"/>
    <col min="772" max="772" width="13.9140625" style="215" customWidth="1"/>
    <col min="773" max="781" width="9.6640625" style="215" customWidth="1"/>
    <col min="782" max="782" width="12.6640625" style="215" customWidth="1"/>
    <col min="783" max="1018" width="8.6640625" style="215"/>
    <col min="1019" max="1019" width="34.75" style="215" customWidth="1"/>
    <col min="1020" max="1020" width="10.75" style="215" customWidth="1"/>
    <col min="1021" max="1021" width="11.33203125" style="215" customWidth="1"/>
    <col min="1022" max="1022" width="12.25" style="215" customWidth="1"/>
    <col min="1023" max="1023" width="13" style="215" customWidth="1"/>
    <col min="1024" max="1024" width="12.6640625" style="215" customWidth="1"/>
    <col min="1025" max="1025" width="14.25" style="215" customWidth="1"/>
    <col min="1026" max="1027" width="13.4140625" style="215" customWidth="1"/>
    <col min="1028" max="1028" width="13.9140625" style="215" customWidth="1"/>
    <col min="1029" max="1037" width="9.6640625" style="215" customWidth="1"/>
    <col min="1038" max="1038" width="12.6640625" style="215" customWidth="1"/>
    <col min="1039" max="1274" width="8.6640625" style="215"/>
    <col min="1275" max="1275" width="34.75" style="215" customWidth="1"/>
    <col min="1276" max="1276" width="10.75" style="215" customWidth="1"/>
    <col min="1277" max="1277" width="11.33203125" style="215" customWidth="1"/>
    <col min="1278" max="1278" width="12.25" style="215" customWidth="1"/>
    <col min="1279" max="1279" width="13" style="215" customWidth="1"/>
    <col min="1280" max="1280" width="12.6640625" style="215" customWidth="1"/>
    <col min="1281" max="1281" width="14.25" style="215" customWidth="1"/>
    <col min="1282" max="1283" width="13.4140625" style="215" customWidth="1"/>
    <col min="1284" max="1284" width="13.9140625" style="215" customWidth="1"/>
    <col min="1285" max="1293" width="9.6640625" style="215" customWidth="1"/>
    <col min="1294" max="1294" width="12.6640625" style="215" customWidth="1"/>
    <col min="1295" max="1530" width="8.6640625" style="215"/>
    <col min="1531" max="1531" width="34.75" style="215" customWidth="1"/>
    <col min="1532" max="1532" width="10.75" style="215" customWidth="1"/>
    <col min="1533" max="1533" width="11.33203125" style="215" customWidth="1"/>
    <col min="1534" max="1534" width="12.25" style="215" customWidth="1"/>
    <col min="1535" max="1535" width="13" style="215" customWidth="1"/>
    <col min="1536" max="1536" width="12.6640625" style="215" customWidth="1"/>
    <col min="1537" max="1537" width="14.25" style="215" customWidth="1"/>
    <col min="1538" max="1539" width="13.4140625" style="215" customWidth="1"/>
    <col min="1540" max="1540" width="13.9140625" style="215" customWidth="1"/>
    <col min="1541" max="1549" width="9.6640625" style="215" customWidth="1"/>
    <col min="1550" max="1550" width="12.6640625" style="215" customWidth="1"/>
    <col min="1551" max="1786" width="8.6640625" style="215"/>
    <col min="1787" max="1787" width="34.75" style="215" customWidth="1"/>
    <col min="1788" max="1788" width="10.75" style="215" customWidth="1"/>
    <col min="1789" max="1789" width="11.33203125" style="215" customWidth="1"/>
    <col min="1790" max="1790" width="12.25" style="215" customWidth="1"/>
    <col min="1791" max="1791" width="13" style="215" customWidth="1"/>
    <col min="1792" max="1792" width="12.6640625" style="215" customWidth="1"/>
    <col min="1793" max="1793" width="14.25" style="215" customWidth="1"/>
    <col min="1794" max="1795" width="13.4140625" style="215" customWidth="1"/>
    <col min="1796" max="1796" width="13.9140625" style="215" customWidth="1"/>
    <col min="1797" max="1805" width="9.6640625" style="215" customWidth="1"/>
    <col min="1806" max="1806" width="12.6640625" style="215" customWidth="1"/>
    <col min="1807" max="2042" width="8.6640625" style="215"/>
    <col min="2043" max="2043" width="34.75" style="215" customWidth="1"/>
    <col min="2044" max="2044" width="10.75" style="215" customWidth="1"/>
    <col min="2045" max="2045" width="11.33203125" style="215" customWidth="1"/>
    <col min="2046" max="2046" width="12.25" style="215" customWidth="1"/>
    <col min="2047" max="2047" width="13" style="215" customWidth="1"/>
    <col min="2048" max="2048" width="12.6640625" style="215" customWidth="1"/>
    <col min="2049" max="2049" width="14.25" style="215" customWidth="1"/>
    <col min="2050" max="2051" width="13.4140625" style="215" customWidth="1"/>
    <col min="2052" max="2052" width="13.9140625" style="215" customWidth="1"/>
    <col min="2053" max="2061" width="9.6640625" style="215" customWidth="1"/>
    <col min="2062" max="2062" width="12.6640625" style="215" customWidth="1"/>
    <col min="2063" max="2298" width="8.6640625" style="215"/>
    <col min="2299" max="2299" width="34.75" style="215" customWidth="1"/>
    <col min="2300" max="2300" width="10.75" style="215" customWidth="1"/>
    <col min="2301" max="2301" width="11.33203125" style="215" customWidth="1"/>
    <col min="2302" max="2302" width="12.25" style="215" customWidth="1"/>
    <col min="2303" max="2303" width="13" style="215" customWidth="1"/>
    <col min="2304" max="2304" width="12.6640625" style="215" customWidth="1"/>
    <col min="2305" max="2305" width="14.25" style="215" customWidth="1"/>
    <col min="2306" max="2307" width="13.4140625" style="215" customWidth="1"/>
    <col min="2308" max="2308" width="13.9140625" style="215" customWidth="1"/>
    <col min="2309" max="2317" width="9.6640625" style="215" customWidth="1"/>
    <col min="2318" max="2318" width="12.6640625" style="215" customWidth="1"/>
    <col min="2319" max="2554" width="8.6640625" style="215"/>
    <col min="2555" max="2555" width="34.75" style="215" customWidth="1"/>
    <col min="2556" max="2556" width="10.75" style="215" customWidth="1"/>
    <col min="2557" max="2557" width="11.33203125" style="215" customWidth="1"/>
    <col min="2558" max="2558" width="12.25" style="215" customWidth="1"/>
    <col min="2559" max="2559" width="13" style="215" customWidth="1"/>
    <col min="2560" max="2560" width="12.6640625" style="215" customWidth="1"/>
    <col min="2561" max="2561" width="14.25" style="215" customWidth="1"/>
    <col min="2562" max="2563" width="13.4140625" style="215" customWidth="1"/>
    <col min="2564" max="2564" width="13.9140625" style="215" customWidth="1"/>
    <col min="2565" max="2573" width="9.6640625" style="215" customWidth="1"/>
    <col min="2574" max="2574" width="12.6640625" style="215" customWidth="1"/>
    <col min="2575" max="2810" width="8.6640625" style="215"/>
    <col min="2811" max="2811" width="34.75" style="215" customWidth="1"/>
    <col min="2812" max="2812" width="10.75" style="215" customWidth="1"/>
    <col min="2813" max="2813" width="11.33203125" style="215" customWidth="1"/>
    <col min="2814" max="2814" width="12.25" style="215" customWidth="1"/>
    <col min="2815" max="2815" width="13" style="215" customWidth="1"/>
    <col min="2816" max="2816" width="12.6640625" style="215" customWidth="1"/>
    <col min="2817" max="2817" width="14.25" style="215" customWidth="1"/>
    <col min="2818" max="2819" width="13.4140625" style="215" customWidth="1"/>
    <col min="2820" max="2820" width="13.9140625" style="215" customWidth="1"/>
    <col min="2821" max="2829" width="9.6640625" style="215" customWidth="1"/>
    <col min="2830" max="2830" width="12.6640625" style="215" customWidth="1"/>
    <col min="2831" max="3066" width="8.6640625" style="215"/>
    <col min="3067" max="3067" width="34.75" style="215" customWidth="1"/>
    <col min="3068" max="3068" width="10.75" style="215" customWidth="1"/>
    <col min="3069" max="3069" width="11.33203125" style="215" customWidth="1"/>
    <col min="3070" max="3070" width="12.25" style="215" customWidth="1"/>
    <col min="3071" max="3071" width="13" style="215" customWidth="1"/>
    <col min="3072" max="3072" width="12.6640625" style="215" customWidth="1"/>
    <col min="3073" max="3073" width="14.25" style="215" customWidth="1"/>
    <col min="3074" max="3075" width="13.4140625" style="215" customWidth="1"/>
    <col min="3076" max="3076" width="13.9140625" style="215" customWidth="1"/>
    <col min="3077" max="3085" width="9.6640625" style="215" customWidth="1"/>
    <col min="3086" max="3086" width="12.6640625" style="215" customWidth="1"/>
    <col min="3087" max="3322" width="8.6640625" style="215"/>
    <col min="3323" max="3323" width="34.75" style="215" customWidth="1"/>
    <col min="3324" max="3324" width="10.75" style="215" customWidth="1"/>
    <col min="3325" max="3325" width="11.33203125" style="215" customWidth="1"/>
    <col min="3326" max="3326" width="12.25" style="215" customWidth="1"/>
    <col min="3327" max="3327" width="13" style="215" customWidth="1"/>
    <col min="3328" max="3328" width="12.6640625" style="215" customWidth="1"/>
    <col min="3329" max="3329" width="14.25" style="215" customWidth="1"/>
    <col min="3330" max="3331" width="13.4140625" style="215" customWidth="1"/>
    <col min="3332" max="3332" width="13.9140625" style="215" customWidth="1"/>
    <col min="3333" max="3341" width="9.6640625" style="215" customWidth="1"/>
    <col min="3342" max="3342" width="12.6640625" style="215" customWidth="1"/>
    <col min="3343" max="3578" width="8.6640625" style="215"/>
    <col min="3579" max="3579" width="34.75" style="215" customWidth="1"/>
    <col min="3580" max="3580" width="10.75" style="215" customWidth="1"/>
    <col min="3581" max="3581" width="11.33203125" style="215" customWidth="1"/>
    <col min="3582" max="3582" width="12.25" style="215" customWidth="1"/>
    <col min="3583" max="3583" width="13" style="215" customWidth="1"/>
    <col min="3584" max="3584" width="12.6640625" style="215" customWidth="1"/>
    <col min="3585" max="3585" width="14.25" style="215" customWidth="1"/>
    <col min="3586" max="3587" width="13.4140625" style="215" customWidth="1"/>
    <col min="3588" max="3588" width="13.9140625" style="215" customWidth="1"/>
    <col min="3589" max="3597" width="9.6640625" style="215" customWidth="1"/>
    <col min="3598" max="3598" width="12.6640625" style="215" customWidth="1"/>
    <col min="3599" max="3834" width="8.6640625" style="215"/>
    <col min="3835" max="3835" width="34.75" style="215" customWidth="1"/>
    <col min="3836" max="3836" width="10.75" style="215" customWidth="1"/>
    <col min="3837" max="3837" width="11.33203125" style="215" customWidth="1"/>
    <col min="3838" max="3838" width="12.25" style="215" customWidth="1"/>
    <col min="3839" max="3839" width="13" style="215" customWidth="1"/>
    <col min="3840" max="3840" width="12.6640625" style="215" customWidth="1"/>
    <col min="3841" max="3841" width="14.25" style="215" customWidth="1"/>
    <col min="3842" max="3843" width="13.4140625" style="215" customWidth="1"/>
    <col min="3844" max="3844" width="13.9140625" style="215" customWidth="1"/>
    <col min="3845" max="3853" width="9.6640625" style="215" customWidth="1"/>
    <col min="3854" max="3854" width="12.6640625" style="215" customWidth="1"/>
    <col min="3855" max="4090" width="8.6640625" style="215"/>
    <col min="4091" max="4091" width="34.75" style="215" customWidth="1"/>
    <col min="4092" max="4092" width="10.75" style="215" customWidth="1"/>
    <col min="4093" max="4093" width="11.33203125" style="215" customWidth="1"/>
    <col min="4094" max="4094" width="12.25" style="215" customWidth="1"/>
    <col min="4095" max="4095" width="13" style="215" customWidth="1"/>
    <col min="4096" max="4096" width="12.6640625" style="215" customWidth="1"/>
    <col min="4097" max="4097" width="14.25" style="215" customWidth="1"/>
    <col min="4098" max="4099" width="13.4140625" style="215" customWidth="1"/>
    <col min="4100" max="4100" width="13.9140625" style="215" customWidth="1"/>
    <col min="4101" max="4109" width="9.6640625" style="215" customWidth="1"/>
    <col min="4110" max="4110" width="12.6640625" style="215" customWidth="1"/>
    <col min="4111" max="4346" width="8.6640625" style="215"/>
    <col min="4347" max="4347" width="34.75" style="215" customWidth="1"/>
    <col min="4348" max="4348" width="10.75" style="215" customWidth="1"/>
    <col min="4349" max="4349" width="11.33203125" style="215" customWidth="1"/>
    <col min="4350" max="4350" width="12.25" style="215" customWidth="1"/>
    <col min="4351" max="4351" width="13" style="215" customWidth="1"/>
    <col min="4352" max="4352" width="12.6640625" style="215" customWidth="1"/>
    <col min="4353" max="4353" width="14.25" style="215" customWidth="1"/>
    <col min="4354" max="4355" width="13.4140625" style="215" customWidth="1"/>
    <col min="4356" max="4356" width="13.9140625" style="215" customWidth="1"/>
    <col min="4357" max="4365" width="9.6640625" style="215" customWidth="1"/>
    <col min="4366" max="4366" width="12.6640625" style="215" customWidth="1"/>
    <col min="4367" max="4602" width="8.6640625" style="215"/>
    <col min="4603" max="4603" width="34.75" style="215" customWidth="1"/>
    <col min="4604" max="4604" width="10.75" style="215" customWidth="1"/>
    <col min="4605" max="4605" width="11.33203125" style="215" customWidth="1"/>
    <col min="4606" max="4606" width="12.25" style="215" customWidth="1"/>
    <col min="4607" max="4607" width="13" style="215" customWidth="1"/>
    <col min="4608" max="4608" width="12.6640625" style="215" customWidth="1"/>
    <col min="4609" max="4609" width="14.25" style="215" customWidth="1"/>
    <col min="4610" max="4611" width="13.4140625" style="215" customWidth="1"/>
    <col min="4612" max="4612" width="13.9140625" style="215" customWidth="1"/>
    <col min="4613" max="4621" width="9.6640625" style="215" customWidth="1"/>
    <col min="4622" max="4622" width="12.6640625" style="215" customWidth="1"/>
    <col min="4623" max="4858" width="8.6640625" style="215"/>
    <col min="4859" max="4859" width="34.75" style="215" customWidth="1"/>
    <col min="4860" max="4860" width="10.75" style="215" customWidth="1"/>
    <col min="4861" max="4861" width="11.33203125" style="215" customWidth="1"/>
    <col min="4862" max="4862" width="12.25" style="215" customWidth="1"/>
    <col min="4863" max="4863" width="13" style="215" customWidth="1"/>
    <col min="4864" max="4864" width="12.6640625" style="215" customWidth="1"/>
    <col min="4865" max="4865" width="14.25" style="215" customWidth="1"/>
    <col min="4866" max="4867" width="13.4140625" style="215" customWidth="1"/>
    <col min="4868" max="4868" width="13.9140625" style="215" customWidth="1"/>
    <col min="4869" max="4877" width="9.6640625" style="215" customWidth="1"/>
    <col min="4878" max="4878" width="12.6640625" style="215" customWidth="1"/>
    <col min="4879" max="5114" width="8.6640625" style="215"/>
    <col min="5115" max="5115" width="34.75" style="215" customWidth="1"/>
    <col min="5116" max="5116" width="10.75" style="215" customWidth="1"/>
    <col min="5117" max="5117" width="11.33203125" style="215" customWidth="1"/>
    <col min="5118" max="5118" width="12.25" style="215" customWidth="1"/>
    <col min="5119" max="5119" width="13" style="215" customWidth="1"/>
    <col min="5120" max="5120" width="12.6640625" style="215" customWidth="1"/>
    <col min="5121" max="5121" width="14.25" style="215" customWidth="1"/>
    <col min="5122" max="5123" width="13.4140625" style="215" customWidth="1"/>
    <col min="5124" max="5124" width="13.9140625" style="215" customWidth="1"/>
    <col min="5125" max="5133" width="9.6640625" style="215" customWidth="1"/>
    <col min="5134" max="5134" width="12.6640625" style="215" customWidth="1"/>
    <col min="5135" max="5370" width="8.6640625" style="215"/>
    <col min="5371" max="5371" width="34.75" style="215" customWidth="1"/>
    <col min="5372" max="5372" width="10.75" style="215" customWidth="1"/>
    <col min="5373" max="5373" width="11.33203125" style="215" customWidth="1"/>
    <col min="5374" max="5374" width="12.25" style="215" customWidth="1"/>
    <col min="5375" max="5375" width="13" style="215" customWidth="1"/>
    <col min="5376" max="5376" width="12.6640625" style="215" customWidth="1"/>
    <col min="5377" max="5377" width="14.25" style="215" customWidth="1"/>
    <col min="5378" max="5379" width="13.4140625" style="215" customWidth="1"/>
    <col min="5380" max="5380" width="13.9140625" style="215" customWidth="1"/>
    <col min="5381" max="5389" width="9.6640625" style="215" customWidth="1"/>
    <col min="5390" max="5390" width="12.6640625" style="215" customWidth="1"/>
    <col min="5391" max="5626" width="8.6640625" style="215"/>
    <col min="5627" max="5627" width="34.75" style="215" customWidth="1"/>
    <col min="5628" max="5628" width="10.75" style="215" customWidth="1"/>
    <col min="5629" max="5629" width="11.33203125" style="215" customWidth="1"/>
    <col min="5630" max="5630" width="12.25" style="215" customWidth="1"/>
    <col min="5631" max="5631" width="13" style="215" customWidth="1"/>
    <col min="5632" max="5632" width="12.6640625" style="215" customWidth="1"/>
    <col min="5633" max="5633" width="14.25" style="215" customWidth="1"/>
    <col min="5634" max="5635" width="13.4140625" style="215" customWidth="1"/>
    <col min="5636" max="5636" width="13.9140625" style="215" customWidth="1"/>
    <col min="5637" max="5645" width="9.6640625" style="215" customWidth="1"/>
    <col min="5646" max="5646" width="12.6640625" style="215" customWidth="1"/>
    <col min="5647" max="5882" width="8.6640625" style="215"/>
    <col min="5883" max="5883" width="34.75" style="215" customWidth="1"/>
    <col min="5884" max="5884" width="10.75" style="215" customWidth="1"/>
    <col min="5885" max="5885" width="11.33203125" style="215" customWidth="1"/>
    <col min="5886" max="5886" width="12.25" style="215" customWidth="1"/>
    <col min="5887" max="5887" width="13" style="215" customWidth="1"/>
    <col min="5888" max="5888" width="12.6640625" style="215" customWidth="1"/>
    <col min="5889" max="5889" width="14.25" style="215" customWidth="1"/>
    <col min="5890" max="5891" width="13.4140625" style="215" customWidth="1"/>
    <col min="5892" max="5892" width="13.9140625" style="215" customWidth="1"/>
    <col min="5893" max="5901" width="9.6640625" style="215" customWidth="1"/>
    <col min="5902" max="5902" width="12.6640625" style="215" customWidth="1"/>
    <col min="5903" max="6138" width="8.6640625" style="215"/>
    <col min="6139" max="6139" width="34.75" style="215" customWidth="1"/>
    <col min="6140" max="6140" width="10.75" style="215" customWidth="1"/>
    <col min="6141" max="6141" width="11.33203125" style="215" customWidth="1"/>
    <col min="6142" max="6142" width="12.25" style="215" customWidth="1"/>
    <col min="6143" max="6143" width="13" style="215" customWidth="1"/>
    <col min="6144" max="6144" width="12.6640625" style="215" customWidth="1"/>
    <col min="6145" max="6145" width="14.25" style="215" customWidth="1"/>
    <col min="6146" max="6147" width="13.4140625" style="215" customWidth="1"/>
    <col min="6148" max="6148" width="13.9140625" style="215" customWidth="1"/>
    <col min="6149" max="6157" width="9.6640625" style="215" customWidth="1"/>
    <col min="6158" max="6158" width="12.6640625" style="215" customWidth="1"/>
    <col min="6159" max="6394" width="8.6640625" style="215"/>
    <col min="6395" max="6395" width="34.75" style="215" customWidth="1"/>
    <col min="6396" max="6396" width="10.75" style="215" customWidth="1"/>
    <col min="6397" max="6397" width="11.33203125" style="215" customWidth="1"/>
    <col min="6398" max="6398" width="12.25" style="215" customWidth="1"/>
    <col min="6399" max="6399" width="13" style="215" customWidth="1"/>
    <col min="6400" max="6400" width="12.6640625" style="215" customWidth="1"/>
    <col min="6401" max="6401" width="14.25" style="215" customWidth="1"/>
    <col min="6402" max="6403" width="13.4140625" style="215" customWidth="1"/>
    <col min="6404" max="6404" width="13.9140625" style="215" customWidth="1"/>
    <col min="6405" max="6413" width="9.6640625" style="215" customWidth="1"/>
    <col min="6414" max="6414" width="12.6640625" style="215" customWidth="1"/>
    <col min="6415" max="6650" width="8.6640625" style="215"/>
    <col min="6651" max="6651" width="34.75" style="215" customWidth="1"/>
    <col min="6652" max="6652" width="10.75" style="215" customWidth="1"/>
    <col min="6653" max="6653" width="11.33203125" style="215" customWidth="1"/>
    <col min="6654" max="6654" width="12.25" style="215" customWidth="1"/>
    <col min="6655" max="6655" width="13" style="215" customWidth="1"/>
    <col min="6656" max="6656" width="12.6640625" style="215" customWidth="1"/>
    <col min="6657" max="6657" width="14.25" style="215" customWidth="1"/>
    <col min="6658" max="6659" width="13.4140625" style="215" customWidth="1"/>
    <col min="6660" max="6660" width="13.9140625" style="215" customWidth="1"/>
    <col min="6661" max="6669" width="9.6640625" style="215" customWidth="1"/>
    <col min="6670" max="6670" width="12.6640625" style="215" customWidth="1"/>
    <col min="6671" max="6906" width="8.6640625" style="215"/>
    <col min="6907" max="6907" width="34.75" style="215" customWidth="1"/>
    <col min="6908" max="6908" width="10.75" style="215" customWidth="1"/>
    <col min="6909" max="6909" width="11.33203125" style="215" customWidth="1"/>
    <col min="6910" max="6910" width="12.25" style="215" customWidth="1"/>
    <col min="6911" max="6911" width="13" style="215" customWidth="1"/>
    <col min="6912" max="6912" width="12.6640625" style="215" customWidth="1"/>
    <col min="6913" max="6913" width="14.25" style="215" customWidth="1"/>
    <col min="6914" max="6915" width="13.4140625" style="215" customWidth="1"/>
    <col min="6916" max="6916" width="13.9140625" style="215" customWidth="1"/>
    <col min="6917" max="6925" width="9.6640625" style="215" customWidth="1"/>
    <col min="6926" max="6926" width="12.6640625" style="215" customWidth="1"/>
    <col min="6927" max="7162" width="8.6640625" style="215"/>
    <col min="7163" max="7163" width="34.75" style="215" customWidth="1"/>
    <col min="7164" max="7164" width="10.75" style="215" customWidth="1"/>
    <col min="7165" max="7165" width="11.33203125" style="215" customWidth="1"/>
    <col min="7166" max="7166" width="12.25" style="215" customWidth="1"/>
    <col min="7167" max="7167" width="13" style="215" customWidth="1"/>
    <col min="7168" max="7168" width="12.6640625" style="215" customWidth="1"/>
    <col min="7169" max="7169" width="14.25" style="215" customWidth="1"/>
    <col min="7170" max="7171" width="13.4140625" style="215" customWidth="1"/>
    <col min="7172" max="7172" width="13.9140625" style="215" customWidth="1"/>
    <col min="7173" max="7181" width="9.6640625" style="215" customWidth="1"/>
    <col min="7182" max="7182" width="12.6640625" style="215" customWidth="1"/>
    <col min="7183" max="7418" width="8.6640625" style="215"/>
    <col min="7419" max="7419" width="34.75" style="215" customWidth="1"/>
    <col min="7420" max="7420" width="10.75" style="215" customWidth="1"/>
    <col min="7421" max="7421" width="11.33203125" style="215" customWidth="1"/>
    <col min="7422" max="7422" width="12.25" style="215" customWidth="1"/>
    <col min="7423" max="7423" width="13" style="215" customWidth="1"/>
    <col min="7424" max="7424" width="12.6640625" style="215" customWidth="1"/>
    <col min="7425" max="7425" width="14.25" style="215" customWidth="1"/>
    <col min="7426" max="7427" width="13.4140625" style="215" customWidth="1"/>
    <col min="7428" max="7428" width="13.9140625" style="215" customWidth="1"/>
    <col min="7429" max="7437" width="9.6640625" style="215" customWidth="1"/>
    <col min="7438" max="7438" width="12.6640625" style="215" customWidth="1"/>
    <col min="7439" max="7674" width="8.6640625" style="215"/>
    <col min="7675" max="7675" width="34.75" style="215" customWidth="1"/>
    <col min="7676" max="7676" width="10.75" style="215" customWidth="1"/>
    <col min="7677" max="7677" width="11.33203125" style="215" customWidth="1"/>
    <col min="7678" max="7678" width="12.25" style="215" customWidth="1"/>
    <col min="7679" max="7679" width="13" style="215" customWidth="1"/>
    <col min="7680" max="7680" width="12.6640625" style="215" customWidth="1"/>
    <col min="7681" max="7681" width="14.25" style="215" customWidth="1"/>
    <col min="7682" max="7683" width="13.4140625" style="215" customWidth="1"/>
    <col min="7684" max="7684" width="13.9140625" style="215" customWidth="1"/>
    <col min="7685" max="7693" width="9.6640625" style="215" customWidth="1"/>
    <col min="7694" max="7694" width="12.6640625" style="215" customWidth="1"/>
    <col min="7695" max="7930" width="8.6640625" style="215"/>
    <col min="7931" max="7931" width="34.75" style="215" customWidth="1"/>
    <col min="7932" max="7932" width="10.75" style="215" customWidth="1"/>
    <col min="7933" max="7933" width="11.33203125" style="215" customWidth="1"/>
    <col min="7934" max="7934" width="12.25" style="215" customWidth="1"/>
    <col min="7935" max="7935" width="13" style="215" customWidth="1"/>
    <col min="7936" max="7936" width="12.6640625" style="215" customWidth="1"/>
    <col min="7937" max="7937" width="14.25" style="215" customWidth="1"/>
    <col min="7938" max="7939" width="13.4140625" style="215" customWidth="1"/>
    <col min="7940" max="7940" width="13.9140625" style="215" customWidth="1"/>
    <col min="7941" max="7949" width="9.6640625" style="215" customWidth="1"/>
    <col min="7950" max="7950" width="12.6640625" style="215" customWidth="1"/>
    <col min="7951" max="8186" width="8.6640625" style="215"/>
    <col min="8187" max="8187" width="34.75" style="215" customWidth="1"/>
    <col min="8188" max="8188" width="10.75" style="215" customWidth="1"/>
    <col min="8189" max="8189" width="11.33203125" style="215" customWidth="1"/>
    <col min="8190" max="8190" width="12.25" style="215" customWidth="1"/>
    <col min="8191" max="8191" width="13" style="215" customWidth="1"/>
    <col min="8192" max="8192" width="12.6640625" style="215" customWidth="1"/>
    <col min="8193" max="8193" width="14.25" style="215" customWidth="1"/>
    <col min="8194" max="8195" width="13.4140625" style="215" customWidth="1"/>
    <col min="8196" max="8196" width="13.9140625" style="215" customWidth="1"/>
    <col min="8197" max="8205" width="9.6640625" style="215" customWidth="1"/>
    <col min="8206" max="8206" width="12.6640625" style="215" customWidth="1"/>
    <col min="8207" max="8442" width="8.6640625" style="215"/>
    <col min="8443" max="8443" width="34.75" style="215" customWidth="1"/>
    <col min="8444" max="8444" width="10.75" style="215" customWidth="1"/>
    <col min="8445" max="8445" width="11.33203125" style="215" customWidth="1"/>
    <col min="8446" max="8446" width="12.25" style="215" customWidth="1"/>
    <col min="8447" max="8447" width="13" style="215" customWidth="1"/>
    <col min="8448" max="8448" width="12.6640625" style="215" customWidth="1"/>
    <col min="8449" max="8449" width="14.25" style="215" customWidth="1"/>
    <col min="8450" max="8451" width="13.4140625" style="215" customWidth="1"/>
    <col min="8452" max="8452" width="13.9140625" style="215" customWidth="1"/>
    <col min="8453" max="8461" width="9.6640625" style="215" customWidth="1"/>
    <col min="8462" max="8462" width="12.6640625" style="215" customWidth="1"/>
    <col min="8463" max="8698" width="8.6640625" style="215"/>
    <col min="8699" max="8699" width="34.75" style="215" customWidth="1"/>
    <col min="8700" max="8700" width="10.75" style="215" customWidth="1"/>
    <col min="8701" max="8701" width="11.33203125" style="215" customWidth="1"/>
    <col min="8702" max="8702" width="12.25" style="215" customWidth="1"/>
    <col min="8703" max="8703" width="13" style="215" customWidth="1"/>
    <col min="8704" max="8704" width="12.6640625" style="215" customWidth="1"/>
    <col min="8705" max="8705" width="14.25" style="215" customWidth="1"/>
    <col min="8706" max="8707" width="13.4140625" style="215" customWidth="1"/>
    <col min="8708" max="8708" width="13.9140625" style="215" customWidth="1"/>
    <col min="8709" max="8717" width="9.6640625" style="215" customWidth="1"/>
    <col min="8718" max="8718" width="12.6640625" style="215" customWidth="1"/>
    <col min="8719" max="8954" width="8.6640625" style="215"/>
    <col min="8955" max="8955" width="34.75" style="215" customWidth="1"/>
    <col min="8956" max="8956" width="10.75" style="215" customWidth="1"/>
    <col min="8957" max="8957" width="11.33203125" style="215" customWidth="1"/>
    <col min="8958" max="8958" width="12.25" style="215" customWidth="1"/>
    <col min="8959" max="8959" width="13" style="215" customWidth="1"/>
    <col min="8960" max="8960" width="12.6640625" style="215" customWidth="1"/>
    <col min="8961" max="8961" width="14.25" style="215" customWidth="1"/>
    <col min="8962" max="8963" width="13.4140625" style="215" customWidth="1"/>
    <col min="8964" max="8964" width="13.9140625" style="215" customWidth="1"/>
    <col min="8965" max="8973" width="9.6640625" style="215" customWidth="1"/>
    <col min="8974" max="8974" width="12.6640625" style="215" customWidth="1"/>
    <col min="8975" max="9210" width="8.6640625" style="215"/>
    <col min="9211" max="9211" width="34.75" style="215" customWidth="1"/>
    <col min="9212" max="9212" width="10.75" style="215" customWidth="1"/>
    <col min="9213" max="9213" width="11.33203125" style="215" customWidth="1"/>
    <col min="9214" max="9214" width="12.25" style="215" customWidth="1"/>
    <col min="9215" max="9215" width="13" style="215" customWidth="1"/>
    <col min="9216" max="9216" width="12.6640625" style="215" customWidth="1"/>
    <col min="9217" max="9217" width="14.25" style="215" customWidth="1"/>
    <col min="9218" max="9219" width="13.4140625" style="215" customWidth="1"/>
    <col min="9220" max="9220" width="13.9140625" style="215" customWidth="1"/>
    <col min="9221" max="9229" width="9.6640625" style="215" customWidth="1"/>
    <col min="9230" max="9230" width="12.6640625" style="215" customWidth="1"/>
    <col min="9231" max="9466" width="8.6640625" style="215"/>
    <col min="9467" max="9467" width="34.75" style="215" customWidth="1"/>
    <col min="9468" max="9468" width="10.75" style="215" customWidth="1"/>
    <col min="9469" max="9469" width="11.33203125" style="215" customWidth="1"/>
    <col min="9470" max="9470" width="12.25" style="215" customWidth="1"/>
    <col min="9471" max="9471" width="13" style="215" customWidth="1"/>
    <col min="9472" max="9472" width="12.6640625" style="215" customWidth="1"/>
    <col min="9473" max="9473" width="14.25" style="215" customWidth="1"/>
    <col min="9474" max="9475" width="13.4140625" style="215" customWidth="1"/>
    <col min="9476" max="9476" width="13.9140625" style="215" customWidth="1"/>
    <col min="9477" max="9485" width="9.6640625" style="215" customWidth="1"/>
    <col min="9486" max="9486" width="12.6640625" style="215" customWidth="1"/>
    <col min="9487" max="9722" width="8.6640625" style="215"/>
    <col min="9723" max="9723" width="34.75" style="215" customWidth="1"/>
    <col min="9724" max="9724" width="10.75" style="215" customWidth="1"/>
    <col min="9725" max="9725" width="11.33203125" style="215" customWidth="1"/>
    <col min="9726" max="9726" width="12.25" style="215" customWidth="1"/>
    <col min="9727" max="9727" width="13" style="215" customWidth="1"/>
    <col min="9728" max="9728" width="12.6640625" style="215" customWidth="1"/>
    <col min="9729" max="9729" width="14.25" style="215" customWidth="1"/>
    <col min="9730" max="9731" width="13.4140625" style="215" customWidth="1"/>
    <col min="9732" max="9732" width="13.9140625" style="215" customWidth="1"/>
    <col min="9733" max="9741" width="9.6640625" style="215" customWidth="1"/>
    <col min="9742" max="9742" width="12.6640625" style="215" customWidth="1"/>
    <col min="9743" max="9978" width="8.6640625" style="215"/>
    <col min="9979" max="9979" width="34.75" style="215" customWidth="1"/>
    <col min="9980" max="9980" width="10.75" style="215" customWidth="1"/>
    <col min="9981" max="9981" width="11.33203125" style="215" customWidth="1"/>
    <col min="9982" max="9982" width="12.25" style="215" customWidth="1"/>
    <col min="9983" max="9983" width="13" style="215" customWidth="1"/>
    <col min="9984" max="9984" width="12.6640625" style="215" customWidth="1"/>
    <col min="9985" max="9985" width="14.25" style="215" customWidth="1"/>
    <col min="9986" max="9987" width="13.4140625" style="215" customWidth="1"/>
    <col min="9988" max="9988" width="13.9140625" style="215" customWidth="1"/>
    <col min="9989" max="9997" width="9.6640625" style="215" customWidth="1"/>
    <col min="9998" max="9998" width="12.6640625" style="215" customWidth="1"/>
    <col min="9999" max="10234" width="8.6640625" style="215"/>
    <col min="10235" max="10235" width="34.75" style="215" customWidth="1"/>
    <col min="10236" max="10236" width="10.75" style="215" customWidth="1"/>
    <col min="10237" max="10237" width="11.33203125" style="215" customWidth="1"/>
    <col min="10238" max="10238" width="12.25" style="215" customWidth="1"/>
    <col min="10239" max="10239" width="13" style="215" customWidth="1"/>
    <col min="10240" max="10240" width="12.6640625" style="215" customWidth="1"/>
    <col min="10241" max="10241" width="14.25" style="215" customWidth="1"/>
    <col min="10242" max="10243" width="13.4140625" style="215" customWidth="1"/>
    <col min="10244" max="10244" width="13.9140625" style="215" customWidth="1"/>
    <col min="10245" max="10253" width="9.6640625" style="215" customWidth="1"/>
    <col min="10254" max="10254" width="12.6640625" style="215" customWidth="1"/>
    <col min="10255" max="10490" width="8.6640625" style="215"/>
    <col min="10491" max="10491" width="34.75" style="215" customWidth="1"/>
    <col min="10492" max="10492" width="10.75" style="215" customWidth="1"/>
    <col min="10493" max="10493" width="11.33203125" style="215" customWidth="1"/>
    <col min="10494" max="10494" width="12.25" style="215" customWidth="1"/>
    <col min="10495" max="10495" width="13" style="215" customWidth="1"/>
    <col min="10496" max="10496" width="12.6640625" style="215" customWidth="1"/>
    <col min="10497" max="10497" width="14.25" style="215" customWidth="1"/>
    <col min="10498" max="10499" width="13.4140625" style="215" customWidth="1"/>
    <col min="10500" max="10500" width="13.9140625" style="215" customWidth="1"/>
    <col min="10501" max="10509" width="9.6640625" style="215" customWidth="1"/>
    <col min="10510" max="10510" width="12.6640625" style="215" customWidth="1"/>
    <col min="10511" max="10746" width="8.6640625" style="215"/>
    <col min="10747" max="10747" width="34.75" style="215" customWidth="1"/>
    <col min="10748" max="10748" width="10.75" style="215" customWidth="1"/>
    <col min="10749" max="10749" width="11.33203125" style="215" customWidth="1"/>
    <col min="10750" max="10750" width="12.25" style="215" customWidth="1"/>
    <col min="10751" max="10751" width="13" style="215" customWidth="1"/>
    <col min="10752" max="10752" width="12.6640625" style="215" customWidth="1"/>
    <col min="10753" max="10753" width="14.25" style="215" customWidth="1"/>
    <col min="10754" max="10755" width="13.4140625" style="215" customWidth="1"/>
    <col min="10756" max="10756" width="13.9140625" style="215" customWidth="1"/>
    <col min="10757" max="10765" width="9.6640625" style="215" customWidth="1"/>
    <col min="10766" max="10766" width="12.6640625" style="215" customWidth="1"/>
    <col min="10767" max="11002" width="8.6640625" style="215"/>
    <col min="11003" max="11003" width="34.75" style="215" customWidth="1"/>
    <col min="11004" max="11004" width="10.75" style="215" customWidth="1"/>
    <col min="11005" max="11005" width="11.33203125" style="215" customWidth="1"/>
    <col min="11006" max="11006" width="12.25" style="215" customWidth="1"/>
    <col min="11007" max="11007" width="13" style="215" customWidth="1"/>
    <col min="11008" max="11008" width="12.6640625" style="215" customWidth="1"/>
    <col min="11009" max="11009" width="14.25" style="215" customWidth="1"/>
    <col min="11010" max="11011" width="13.4140625" style="215" customWidth="1"/>
    <col min="11012" max="11012" width="13.9140625" style="215" customWidth="1"/>
    <col min="11013" max="11021" width="9.6640625" style="215" customWidth="1"/>
    <col min="11022" max="11022" width="12.6640625" style="215" customWidth="1"/>
    <col min="11023" max="11258" width="8.6640625" style="215"/>
    <col min="11259" max="11259" width="34.75" style="215" customWidth="1"/>
    <col min="11260" max="11260" width="10.75" style="215" customWidth="1"/>
    <col min="11261" max="11261" width="11.33203125" style="215" customWidth="1"/>
    <col min="11262" max="11262" width="12.25" style="215" customWidth="1"/>
    <col min="11263" max="11263" width="13" style="215" customWidth="1"/>
    <col min="11264" max="11264" width="12.6640625" style="215" customWidth="1"/>
    <col min="11265" max="11265" width="14.25" style="215" customWidth="1"/>
    <col min="11266" max="11267" width="13.4140625" style="215" customWidth="1"/>
    <col min="11268" max="11268" width="13.9140625" style="215" customWidth="1"/>
    <col min="11269" max="11277" width="9.6640625" style="215" customWidth="1"/>
    <col min="11278" max="11278" width="12.6640625" style="215" customWidth="1"/>
    <col min="11279" max="11514" width="8.6640625" style="215"/>
    <col min="11515" max="11515" width="34.75" style="215" customWidth="1"/>
    <col min="11516" max="11516" width="10.75" style="215" customWidth="1"/>
    <col min="11517" max="11517" width="11.33203125" style="215" customWidth="1"/>
    <col min="11518" max="11518" width="12.25" style="215" customWidth="1"/>
    <col min="11519" max="11519" width="13" style="215" customWidth="1"/>
    <col min="11520" max="11520" width="12.6640625" style="215" customWidth="1"/>
    <col min="11521" max="11521" width="14.25" style="215" customWidth="1"/>
    <col min="11522" max="11523" width="13.4140625" style="215" customWidth="1"/>
    <col min="11524" max="11524" width="13.9140625" style="215" customWidth="1"/>
    <col min="11525" max="11533" width="9.6640625" style="215" customWidth="1"/>
    <col min="11534" max="11534" width="12.6640625" style="215" customWidth="1"/>
    <col min="11535" max="11770" width="8.6640625" style="215"/>
    <col min="11771" max="11771" width="34.75" style="215" customWidth="1"/>
    <col min="11772" max="11772" width="10.75" style="215" customWidth="1"/>
    <col min="11773" max="11773" width="11.33203125" style="215" customWidth="1"/>
    <col min="11774" max="11774" width="12.25" style="215" customWidth="1"/>
    <col min="11775" max="11775" width="13" style="215" customWidth="1"/>
    <col min="11776" max="11776" width="12.6640625" style="215" customWidth="1"/>
    <col min="11777" max="11777" width="14.25" style="215" customWidth="1"/>
    <col min="11778" max="11779" width="13.4140625" style="215" customWidth="1"/>
    <col min="11780" max="11780" width="13.9140625" style="215" customWidth="1"/>
    <col min="11781" max="11789" width="9.6640625" style="215" customWidth="1"/>
    <col min="11790" max="11790" width="12.6640625" style="215" customWidth="1"/>
    <col min="11791" max="12026" width="8.6640625" style="215"/>
    <col min="12027" max="12027" width="34.75" style="215" customWidth="1"/>
    <col min="12028" max="12028" width="10.75" style="215" customWidth="1"/>
    <col min="12029" max="12029" width="11.33203125" style="215" customWidth="1"/>
    <col min="12030" max="12030" width="12.25" style="215" customWidth="1"/>
    <col min="12031" max="12031" width="13" style="215" customWidth="1"/>
    <col min="12032" max="12032" width="12.6640625" style="215" customWidth="1"/>
    <col min="12033" max="12033" width="14.25" style="215" customWidth="1"/>
    <col min="12034" max="12035" width="13.4140625" style="215" customWidth="1"/>
    <col min="12036" max="12036" width="13.9140625" style="215" customWidth="1"/>
    <col min="12037" max="12045" width="9.6640625" style="215" customWidth="1"/>
    <col min="12046" max="12046" width="12.6640625" style="215" customWidth="1"/>
    <col min="12047" max="12282" width="8.6640625" style="215"/>
    <col min="12283" max="12283" width="34.75" style="215" customWidth="1"/>
    <col min="12284" max="12284" width="10.75" style="215" customWidth="1"/>
    <col min="12285" max="12285" width="11.33203125" style="215" customWidth="1"/>
    <col min="12286" max="12286" width="12.25" style="215" customWidth="1"/>
    <col min="12287" max="12287" width="13" style="215" customWidth="1"/>
    <col min="12288" max="12288" width="12.6640625" style="215" customWidth="1"/>
    <col min="12289" max="12289" width="14.25" style="215" customWidth="1"/>
    <col min="12290" max="12291" width="13.4140625" style="215" customWidth="1"/>
    <col min="12292" max="12292" width="13.9140625" style="215" customWidth="1"/>
    <col min="12293" max="12301" width="9.6640625" style="215" customWidth="1"/>
    <col min="12302" max="12302" width="12.6640625" style="215" customWidth="1"/>
    <col min="12303" max="12538" width="8.6640625" style="215"/>
    <col min="12539" max="12539" width="34.75" style="215" customWidth="1"/>
    <col min="12540" max="12540" width="10.75" style="215" customWidth="1"/>
    <col min="12541" max="12541" width="11.33203125" style="215" customWidth="1"/>
    <col min="12542" max="12542" width="12.25" style="215" customWidth="1"/>
    <col min="12543" max="12543" width="13" style="215" customWidth="1"/>
    <col min="12544" max="12544" width="12.6640625" style="215" customWidth="1"/>
    <col min="12545" max="12545" width="14.25" style="215" customWidth="1"/>
    <col min="12546" max="12547" width="13.4140625" style="215" customWidth="1"/>
    <col min="12548" max="12548" width="13.9140625" style="215" customWidth="1"/>
    <col min="12549" max="12557" width="9.6640625" style="215" customWidth="1"/>
    <col min="12558" max="12558" width="12.6640625" style="215" customWidth="1"/>
    <col min="12559" max="12794" width="8.6640625" style="215"/>
    <col min="12795" max="12795" width="34.75" style="215" customWidth="1"/>
    <col min="12796" max="12796" width="10.75" style="215" customWidth="1"/>
    <col min="12797" max="12797" width="11.33203125" style="215" customWidth="1"/>
    <col min="12798" max="12798" width="12.25" style="215" customWidth="1"/>
    <col min="12799" max="12799" width="13" style="215" customWidth="1"/>
    <col min="12800" max="12800" width="12.6640625" style="215" customWidth="1"/>
    <col min="12801" max="12801" width="14.25" style="215" customWidth="1"/>
    <col min="12802" max="12803" width="13.4140625" style="215" customWidth="1"/>
    <col min="12804" max="12804" width="13.9140625" style="215" customWidth="1"/>
    <col min="12805" max="12813" width="9.6640625" style="215" customWidth="1"/>
    <col min="12814" max="12814" width="12.6640625" style="215" customWidth="1"/>
    <col min="12815" max="13050" width="8.6640625" style="215"/>
    <col min="13051" max="13051" width="34.75" style="215" customWidth="1"/>
    <col min="13052" max="13052" width="10.75" style="215" customWidth="1"/>
    <col min="13053" max="13053" width="11.33203125" style="215" customWidth="1"/>
    <col min="13054" max="13054" width="12.25" style="215" customWidth="1"/>
    <col min="13055" max="13055" width="13" style="215" customWidth="1"/>
    <col min="13056" max="13056" width="12.6640625" style="215" customWidth="1"/>
    <col min="13057" max="13057" width="14.25" style="215" customWidth="1"/>
    <col min="13058" max="13059" width="13.4140625" style="215" customWidth="1"/>
    <col min="13060" max="13060" width="13.9140625" style="215" customWidth="1"/>
    <col min="13061" max="13069" width="9.6640625" style="215" customWidth="1"/>
    <col min="13070" max="13070" width="12.6640625" style="215" customWidth="1"/>
    <col min="13071" max="13306" width="8.6640625" style="215"/>
    <col min="13307" max="13307" width="34.75" style="215" customWidth="1"/>
    <col min="13308" max="13308" width="10.75" style="215" customWidth="1"/>
    <col min="13309" max="13309" width="11.33203125" style="215" customWidth="1"/>
    <col min="13310" max="13310" width="12.25" style="215" customWidth="1"/>
    <col min="13311" max="13311" width="13" style="215" customWidth="1"/>
    <col min="13312" max="13312" width="12.6640625" style="215" customWidth="1"/>
    <col min="13313" max="13313" width="14.25" style="215" customWidth="1"/>
    <col min="13314" max="13315" width="13.4140625" style="215" customWidth="1"/>
    <col min="13316" max="13316" width="13.9140625" style="215" customWidth="1"/>
    <col min="13317" max="13325" width="9.6640625" style="215" customWidth="1"/>
    <col min="13326" max="13326" width="12.6640625" style="215" customWidth="1"/>
    <col min="13327" max="13562" width="8.6640625" style="215"/>
    <col min="13563" max="13563" width="34.75" style="215" customWidth="1"/>
    <col min="13564" max="13564" width="10.75" style="215" customWidth="1"/>
    <col min="13565" max="13565" width="11.33203125" style="215" customWidth="1"/>
    <col min="13566" max="13566" width="12.25" style="215" customWidth="1"/>
    <col min="13567" max="13567" width="13" style="215" customWidth="1"/>
    <col min="13568" max="13568" width="12.6640625" style="215" customWidth="1"/>
    <col min="13569" max="13569" width="14.25" style="215" customWidth="1"/>
    <col min="13570" max="13571" width="13.4140625" style="215" customWidth="1"/>
    <col min="13572" max="13572" width="13.9140625" style="215" customWidth="1"/>
    <col min="13573" max="13581" width="9.6640625" style="215" customWidth="1"/>
    <col min="13582" max="13582" width="12.6640625" style="215" customWidth="1"/>
    <col min="13583" max="13818" width="8.6640625" style="215"/>
    <col min="13819" max="13819" width="34.75" style="215" customWidth="1"/>
    <col min="13820" max="13820" width="10.75" style="215" customWidth="1"/>
    <col min="13821" max="13821" width="11.33203125" style="215" customWidth="1"/>
    <col min="13822" max="13822" width="12.25" style="215" customWidth="1"/>
    <col min="13823" max="13823" width="13" style="215" customWidth="1"/>
    <col min="13824" max="13824" width="12.6640625" style="215" customWidth="1"/>
    <col min="13825" max="13825" width="14.25" style="215" customWidth="1"/>
    <col min="13826" max="13827" width="13.4140625" style="215" customWidth="1"/>
    <col min="13828" max="13828" width="13.9140625" style="215" customWidth="1"/>
    <col min="13829" max="13837" width="9.6640625" style="215" customWidth="1"/>
    <col min="13838" max="13838" width="12.6640625" style="215" customWidth="1"/>
    <col min="13839" max="14074" width="8.6640625" style="215"/>
    <col min="14075" max="14075" width="34.75" style="215" customWidth="1"/>
    <col min="14076" max="14076" width="10.75" style="215" customWidth="1"/>
    <col min="14077" max="14077" width="11.33203125" style="215" customWidth="1"/>
    <col min="14078" max="14078" width="12.25" style="215" customWidth="1"/>
    <col min="14079" max="14079" width="13" style="215" customWidth="1"/>
    <col min="14080" max="14080" width="12.6640625" style="215" customWidth="1"/>
    <col min="14081" max="14081" width="14.25" style="215" customWidth="1"/>
    <col min="14082" max="14083" width="13.4140625" style="215" customWidth="1"/>
    <col min="14084" max="14084" width="13.9140625" style="215" customWidth="1"/>
    <col min="14085" max="14093" width="9.6640625" style="215" customWidth="1"/>
    <col min="14094" max="14094" width="12.6640625" style="215" customWidth="1"/>
    <col min="14095" max="14330" width="8.6640625" style="215"/>
    <col min="14331" max="14331" width="34.75" style="215" customWidth="1"/>
    <col min="14332" max="14332" width="10.75" style="215" customWidth="1"/>
    <col min="14333" max="14333" width="11.33203125" style="215" customWidth="1"/>
    <col min="14334" max="14334" width="12.25" style="215" customWidth="1"/>
    <col min="14335" max="14335" width="13" style="215" customWidth="1"/>
    <col min="14336" max="14336" width="12.6640625" style="215" customWidth="1"/>
    <col min="14337" max="14337" width="14.25" style="215" customWidth="1"/>
    <col min="14338" max="14339" width="13.4140625" style="215" customWidth="1"/>
    <col min="14340" max="14340" width="13.9140625" style="215" customWidth="1"/>
    <col min="14341" max="14349" width="9.6640625" style="215" customWidth="1"/>
    <col min="14350" max="14350" width="12.6640625" style="215" customWidth="1"/>
    <col min="14351" max="14586" width="8.6640625" style="215"/>
    <col min="14587" max="14587" width="34.75" style="215" customWidth="1"/>
    <col min="14588" max="14588" width="10.75" style="215" customWidth="1"/>
    <col min="14589" max="14589" width="11.33203125" style="215" customWidth="1"/>
    <col min="14590" max="14590" width="12.25" style="215" customWidth="1"/>
    <col min="14591" max="14591" width="13" style="215" customWidth="1"/>
    <col min="14592" max="14592" width="12.6640625" style="215" customWidth="1"/>
    <col min="14593" max="14593" width="14.25" style="215" customWidth="1"/>
    <col min="14594" max="14595" width="13.4140625" style="215" customWidth="1"/>
    <col min="14596" max="14596" width="13.9140625" style="215" customWidth="1"/>
    <col min="14597" max="14605" width="9.6640625" style="215" customWidth="1"/>
    <col min="14606" max="14606" width="12.6640625" style="215" customWidth="1"/>
    <col min="14607" max="14842" width="8.6640625" style="215"/>
    <col min="14843" max="14843" width="34.75" style="215" customWidth="1"/>
    <col min="14844" max="14844" width="10.75" style="215" customWidth="1"/>
    <col min="14845" max="14845" width="11.33203125" style="215" customWidth="1"/>
    <col min="14846" max="14846" width="12.25" style="215" customWidth="1"/>
    <col min="14847" max="14847" width="13" style="215" customWidth="1"/>
    <col min="14848" max="14848" width="12.6640625" style="215" customWidth="1"/>
    <col min="14849" max="14849" width="14.25" style="215" customWidth="1"/>
    <col min="14850" max="14851" width="13.4140625" style="215" customWidth="1"/>
    <col min="14852" max="14852" width="13.9140625" style="215" customWidth="1"/>
    <col min="14853" max="14861" width="9.6640625" style="215" customWidth="1"/>
    <col min="14862" max="14862" width="12.6640625" style="215" customWidth="1"/>
    <col min="14863" max="15098" width="8.6640625" style="215"/>
    <col min="15099" max="15099" width="34.75" style="215" customWidth="1"/>
    <col min="15100" max="15100" width="10.75" style="215" customWidth="1"/>
    <col min="15101" max="15101" width="11.33203125" style="215" customWidth="1"/>
    <col min="15102" max="15102" width="12.25" style="215" customWidth="1"/>
    <col min="15103" max="15103" width="13" style="215" customWidth="1"/>
    <col min="15104" max="15104" width="12.6640625" style="215" customWidth="1"/>
    <col min="15105" max="15105" width="14.25" style="215" customWidth="1"/>
    <col min="15106" max="15107" width="13.4140625" style="215" customWidth="1"/>
    <col min="15108" max="15108" width="13.9140625" style="215" customWidth="1"/>
    <col min="15109" max="15117" width="9.6640625" style="215" customWidth="1"/>
    <col min="15118" max="15118" width="12.6640625" style="215" customWidth="1"/>
    <col min="15119" max="15354" width="8.6640625" style="215"/>
    <col min="15355" max="15355" width="34.75" style="215" customWidth="1"/>
    <col min="15356" max="15356" width="10.75" style="215" customWidth="1"/>
    <col min="15357" max="15357" width="11.33203125" style="215" customWidth="1"/>
    <col min="15358" max="15358" width="12.25" style="215" customWidth="1"/>
    <col min="15359" max="15359" width="13" style="215" customWidth="1"/>
    <col min="15360" max="15360" width="12.6640625" style="215" customWidth="1"/>
    <col min="15361" max="15361" width="14.25" style="215" customWidth="1"/>
    <col min="15362" max="15363" width="13.4140625" style="215" customWidth="1"/>
    <col min="15364" max="15364" width="13.9140625" style="215" customWidth="1"/>
    <col min="15365" max="15373" width="9.6640625" style="215" customWidth="1"/>
    <col min="15374" max="15374" width="12.6640625" style="215" customWidth="1"/>
    <col min="15375" max="15610" width="8.6640625" style="215"/>
    <col min="15611" max="15611" width="34.75" style="215" customWidth="1"/>
    <col min="15612" max="15612" width="10.75" style="215" customWidth="1"/>
    <col min="15613" max="15613" width="11.33203125" style="215" customWidth="1"/>
    <col min="15614" max="15614" width="12.25" style="215" customWidth="1"/>
    <col min="15615" max="15615" width="13" style="215" customWidth="1"/>
    <col min="15616" max="15616" width="12.6640625" style="215" customWidth="1"/>
    <col min="15617" max="15617" width="14.25" style="215" customWidth="1"/>
    <col min="15618" max="15619" width="13.4140625" style="215" customWidth="1"/>
    <col min="15620" max="15620" width="13.9140625" style="215" customWidth="1"/>
    <col min="15621" max="15629" width="9.6640625" style="215" customWidth="1"/>
    <col min="15630" max="15630" width="12.6640625" style="215" customWidth="1"/>
    <col min="15631" max="15866" width="8.6640625" style="215"/>
    <col min="15867" max="15867" width="34.75" style="215" customWidth="1"/>
    <col min="15868" max="15868" width="10.75" style="215" customWidth="1"/>
    <col min="15869" max="15869" width="11.33203125" style="215" customWidth="1"/>
    <col min="15870" max="15870" width="12.25" style="215" customWidth="1"/>
    <col min="15871" max="15871" width="13" style="215" customWidth="1"/>
    <col min="15872" max="15872" width="12.6640625" style="215" customWidth="1"/>
    <col min="15873" max="15873" width="14.25" style="215" customWidth="1"/>
    <col min="15874" max="15875" width="13.4140625" style="215" customWidth="1"/>
    <col min="15876" max="15876" width="13.9140625" style="215" customWidth="1"/>
    <col min="15877" max="15885" width="9.6640625" style="215" customWidth="1"/>
    <col min="15886" max="15886" width="12.6640625" style="215" customWidth="1"/>
    <col min="15887" max="16122" width="8.6640625" style="215"/>
    <col min="16123" max="16123" width="34.75" style="215" customWidth="1"/>
    <col min="16124" max="16124" width="10.75" style="215" customWidth="1"/>
    <col min="16125" max="16125" width="11.33203125" style="215" customWidth="1"/>
    <col min="16126" max="16126" width="12.25" style="215" customWidth="1"/>
    <col min="16127" max="16127" width="13" style="215" customWidth="1"/>
    <col min="16128" max="16128" width="12.6640625" style="215" customWidth="1"/>
    <col min="16129" max="16129" width="14.25" style="215" customWidth="1"/>
    <col min="16130" max="16131" width="13.4140625" style="215" customWidth="1"/>
    <col min="16132" max="16132" width="13.9140625" style="215" customWidth="1"/>
    <col min="16133" max="16141" width="9.6640625" style="215" customWidth="1"/>
    <col min="16142" max="16142" width="12.6640625" style="215" customWidth="1"/>
    <col min="16143" max="16384" width="8.6640625" style="215"/>
  </cols>
  <sheetData>
    <row r="1" spans="1:16" s="532" customFormat="1" ht="13.5" customHeight="1" x14ac:dyDescent="0.25">
      <c r="A1" s="527" t="s">
        <v>107</v>
      </c>
      <c r="B1" s="528"/>
      <c r="C1" s="529"/>
      <c r="D1" s="527"/>
      <c r="E1" s="530"/>
      <c r="F1" s="530"/>
      <c r="G1" s="530"/>
      <c r="H1" s="530"/>
      <c r="I1" s="530"/>
      <c r="J1" s="530"/>
      <c r="K1" s="530"/>
      <c r="L1" s="530"/>
      <c r="M1" s="531"/>
    </row>
    <row r="2" spans="1:16" ht="13.5" customHeight="1" x14ac:dyDescent="0.25">
      <c r="A2" s="210"/>
      <c r="B2" s="211"/>
      <c r="C2" s="212"/>
      <c r="D2" s="210"/>
      <c r="E2" s="213"/>
      <c r="F2" s="214"/>
      <c r="G2" s="214"/>
      <c r="H2" s="214"/>
      <c r="I2" s="214"/>
      <c r="J2" s="214"/>
      <c r="K2" s="214"/>
      <c r="L2" s="214"/>
      <c r="M2" s="216"/>
    </row>
    <row r="3" spans="1:16" x14ac:dyDescent="0.25">
      <c r="A3" s="217" t="s">
        <v>108</v>
      </c>
      <c r="B3" s="219" t="s">
        <v>32</v>
      </c>
      <c r="C3" s="212" t="s">
        <v>34</v>
      </c>
      <c r="D3" s="219" t="s">
        <v>35</v>
      </c>
      <c r="E3" s="212" t="s">
        <v>36</v>
      </c>
      <c r="F3" s="212" t="s">
        <v>37</v>
      </c>
      <c r="G3" s="212" t="s">
        <v>40</v>
      </c>
      <c r="H3" s="212" t="s">
        <v>41</v>
      </c>
      <c r="I3" s="212" t="s">
        <v>329</v>
      </c>
      <c r="J3" s="212" t="s">
        <v>359</v>
      </c>
      <c r="K3" s="212" t="s">
        <v>359</v>
      </c>
      <c r="L3" s="212" t="s">
        <v>381</v>
      </c>
      <c r="M3" s="220"/>
    </row>
    <row r="4" spans="1:16" s="358" customFormat="1" x14ac:dyDescent="0.25">
      <c r="A4" s="217" t="s">
        <v>109</v>
      </c>
      <c r="B4" s="221" t="s">
        <v>110</v>
      </c>
      <c r="C4" s="221" t="s">
        <v>110</v>
      </c>
      <c r="D4" s="221" t="s">
        <v>110</v>
      </c>
      <c r="E4" s="221" t="s">
        <v>110</v>
      </c>
      <c r="F4" s="221" t="s">
        <v>110</v>
      </c>
      <c r="G4" s="221" t="s">
        <v>110</v>
      </c>
      <c r="H4" s="221" t="s">
        <v>110</v>
      </c>
      <c r="I4" s="221" t="s">
        <v>110</v>
      </c>
      <c r="J4" s="221" t="s">
        <v>110</v>
      </c>
      <c r="K4" s="221" t="s">
        <v>368</v>
      </c>
      <c r="L4" s="221" t="s">
        <v>368</v>
      </c>
      <c r="M4" s="401"/>
    </row>
    <row r="5" spans="1:16" s="490" customFormat="1" x14ac:dyDescent="0.25">
      <c r="A5" s="222" t="s">
        <v>111</v>
      </c>
      <c r="B5" s="223" t="s">
        <v>112</v>
      </c>
      <c r="C5" s="223" t="s">
        <v>112</v>
      </c>
      <c r="D5" s="223" t="s">
        <v>112</v>
      </c>
      <c r="E5" s="223" t="s">
        <v>112</v>
      </c>
      <c r="F5" s="223" t="s">
        <v>112</v>
      </c>
      <c r="G5" s="223" t="s">
        <v>112</v>
      </c>
      <c r="H5" s="223" t="s">
        <v>112</v>
      </c>
      <c r="I5" s="223" t="s">
        <v>112</v>
      </c>
      <c r="J5" s="223" t="s">
        <v>112</v>
      </c>
      <c r="K5" s="223" t="s">
        <v>427</v>
      </c>
      <c r="L5" s="223" t="str">
        <f>K5</f>
        <v>February</v>
      </c>
      <c r="M5" s="491"/>
      <c r="O5" s="491"/>
      <c r="P5" s="491"/>
    </row>
    <row r="6" spans="1:16" ht="7.5" customHeight="1" x14ac:dyDescent="0.25">
      <c r="A6" s="224"/>
      <c r="B6" s="216"/>
      <c r="C6" s="226"/>
      <c r="D6" s="220"/>
      <c r="E6" s="226"/>
      <c r="F6" s="226"/>
      <c r="G6" s="226"/>
      <c r="H6" s="226"/>
      <c r="I6" s="226"/>
      <c r="J6" s="226"/>
      <c r="K6" s="226"/>
      <c r="L6" s="226"/>
      <c r="M6" s="220"/>
      <c r="O6" s="220"/>
      <c r="P6" s="220"/>
    </row>
    <row r="7" spans="1:16" ht="12.75" customHeight="1" x14ac:dyDescent="0.25">
      <c r="A7" s="227" t="s">
        <v>2</v>
      </c>
      <c r="C7" s="408"/>
      <c r="D7" s="408"/>
      <c r="E7" s="228"/>
      <c r="F7" s="408" t="s">
        <v>113</v>
      </c>
      <c r="G7" s="226"/>
      <c r="H7" s="226"/>
      <c r="I7" s="226"/>
      <c r="J7" s="226"/>
      <c r="K7" s="226"/>
      <c r="L7" s="226"/>
      <c r="M7" s="216"/>
    </row>
    <row r="8" spans="1:16" ht="6.75" customHeight="1" x14ac:dyDescent="0.25">
      <c r="A8" s="229"/>
      <c r="D8" s="231"/>
      <c r="F8" s="231"/>
      <c r="G8" s="231"/>
      <c r="H8" s="231"/>
      <c r="I8" s="231"/>
      <c r="J8" s="231"/>
      <c r="K8" s="231"/>
      <c r="L8" s="231"/>
      <c r="M8" s="216"/>
      <c r="O8" s="232"/>
      <c r="P8" s="232"/>
    </row>
    <row r="9" spans="1:16" x14ac:dyDescent="0.25">
      <c r="A9" s="233" t="s">
        <v>114</v>
      </c>
      <c r="B9" s="234">
        <v>541.50199999999995</v>
      </c>
      <c r="C9" s="231">
        <v>624.83000000000004</v>
      </c>
      <c r="D9" s="226">
        <v>647.06100000000004</v>
      </c>
      <c r="E9" s="226">
        <v>703.14200000000005</v>
      </c>
      <c r="F9" s="226">
        <v>676.78</v>
      </c>
      <c r="G9" s="226">
        <v>692.726</v>
      </c>
      <c r="H9" s="226">
        <v>794.76199999999994</v>
      </c>
      <c r="I9" s="226">
        <v>831.25800000000004</v>
      </c>
      <c r="J9" s="226">
        <v>1064.5830000000001</v>
      </c>
      <c r="K9" s="226">
        <v>519.20000000000005</v>
      </c>
      <c r="L9" s="226">
        <v>524</v>
      </c>
      <c r="M9" s="216"/>
      <c r="O9" s="232"/>
      <c r="P9" s="232"/>
    </row>
    <row r="10" spans="1:16" x14ac:dyDescent="0.25">
      <c r="A10" s="227" t="s">
        <v>115</v>
      </c>
      <c r="B10" s="234">
        <v>3.5840000000000001</v>
      </c>
      <c r="C10" s="231">
        <v>2.702</v>
      </c>
      <c r="D10" s="226">
        <v>3.2229999999999999</v>
      </c>
      <c r="E10" s="226">
        <v>4.758</v>
      </c>
      <c r="F10" s="226">
        <v>3.92</v>
      </c>
      <c r="G10" s="226">
        <v>4.0469999999999997</v>
      </c>
      <c r="H10" s="226">
        <v>34.127000000000002</v>
      </c>
      <c r="I10" s="226">
        <v>66.242000000000004</v>
      </c>
      <c r="J10" s="226">
        <v>85.924999999999997</v>
      </c>
      <c r="K10" s="226">
        <v>42.5</v>
      </c>
      <c r="L10" s="226">
        <v>22</v>
      </c>
      <c r="M10" s="216"/>
      <c r="O10" s="232"/>
      <c r="P10" s="232"/>
    </row>
    <row r="11" spans="1:16" x14ac:dyDescent="0.25">
      <c r="A11" s="227" t="s">
        <v>116</v>
      </c>
      <c r="B11" s="234">
        <v>110.541</v>
      </c>
      <c r="C11" s="226">
        <v>129.27500000000001</v>
      </c>
      <c r="D11" s="226">
        <v>138.78899999999999</v>
      </c>
      <c r="E11" s="226">
        <v>128.69499999999999</v>
      </c>
      <c r="F11" s="226">
        <v>166.58099999999999</v>
      </c>
      <c r="G11" s="226">
        <v>150.04900000000001</v>
      </c>
      <c r="H11" s="226">
        <v>183.25399999999999</v>
      </c>
      <c r="I11" s="226">
        <v>187.96799999999999</v>
      </c>
      <c r="J11" s="226">
        <v>225.90600000000001</v>
      </c>
      <c r="K11" s="226">
        <v>113.6</v>
      </c>
      <c r="L11" s="226">
        <v>150.9</v>
      </c>
      <c r="M11" s="216"/>
      <c r="O11" s="232"/>
      <c r="P11" s="232"/>
    </row>
    <row r="12" spans="1:16" x14ac:dyDescent="0.25">
      <c r="A12" s="227" t="s">
        <v>117</v>
      </c>
      <c r="B12" s="234">
        <v>15.224</v>
      </c>
      <c r="C12" s="226">
        <v>17.672999999999998</v>
      </c>
      <c r="D12" s="226">
        <v>26.646000000000001</v>
      </c>
      <c r="E12" s="226">
        <v>25.155999999999999</v>
      </c>
      <c r="F12" s="226">
        <v>27.600999999999999</v>
      </c>
      <c r="G12" s="226">
        <v>20.959</v>
      </c>
      <c r="H12" s="226">
        <v>21.922000000000001</v>
      </c>
      <c r="I12" s="226">
        <v>23.193999999999999</v>
      </c>
      <c r="J12" s="226">
        <v>36.484999999999999</v>
      </c>
      <c r="K12" s="226">
        <v>15.3</v>
      </c>
      <c r="L12" s="226">
        <v>17.899999999999999</v>
      </c>
      <c r="M12" s="216"/>
      <c r="O12" s="232"/>
      <c r="P12" s="232"/>
    </row>
    <row r="13" spans="1:16" x14ac:dyDescent="0.25">
      <c r="A13" s="227" t="s">
        <v>118</v>
      </c>
      <c r="B13" s="234">
        <v>387.642</v>
      </c>
      <c r="C13" s="226">
        <v>393.83699999999999</v>
      </c>
      <c r="D13" s="226">
        <v>428.589</v>
      </c>
      <c r="E13" s="226">
        <v>472.214</v>
      </c>
      <c r="F13" s="226">
        <v>437.34199999999998</v>
      </c>
      <c r="G13" s="226">
        <v>482.3</v>
      </c>
      <c r="H13" s="226">
        <v>529.29999999999995</v>
      </c>
      <c r="I13" s="226">
        <v>531.11599999999999</v>
      </c>
      <c r="J13" s="226">
        <v>682.89200000000005</v>
      </c>
      <c r="K13" s="226">
        <v>330.4</v>
      </c>
      <c r="L13" s="226">
        <v>317.10000000000002</v>
      </c>
      <c r="M13" s="216"/>
      <c r="O13" s="232"/>
      <c r="P13" s="232"/>
    </row>
    <row r="14" spans="1:16" x14ac:dyDescent="0.25">
      <c r="A14" s="227" t="s">
        <v>119</v>
      </c>
      <c r="B14" s="234">
        <v>21.664000000000001</v>
      </c>
      <c r="C14" s="226">
        <v>77.793000000000006</v>
      </c>
      <c r="D14" s="226">
        <v>45.351999999999997</v>
      </c>
      <c r="E14" s="226">
        <v>67.453999999999994</v>
      </c>
      <c r="F14" s="226">
        <v>35.616999999999997</v>
      </c>
      <c r="G14" s="226">
        <v>29</v>
      </c>
      <c r="H14" s="226">
        <v>19.600000000000001</v>
      </c>
      <c r="I14" s="226">
        <v>15.554</v>
      </c>
      <c r="J14" s="226">
        <v>21.347000000000001</v>
      </c>
      <c r="K14" s="226">
        <v>11.6</v>
      </c>
      <c r="L14" s="226">
        <v>10.6</v>
      </c>
      <c r="M14" s="216"/>
      <c r="O14" s="232"/>
      <c r="P14" s="232"/>
    </row>
    <row r="15" spans="1:16" x14ac:dyDescent="0.25">
      <c r="A15" s="227" t="s">
        <v>120</v>
      </c>
      <c r="B15" s="235">
        <f>B9-SUM(B10:B14)</f>
        <v>2.84699999999998</v>
      </c>
      <c r="C15" s="226">
        <f t="shared" ref="C15:G15" si="0">C9-C10-C11-C12-C13-C14</f>
        <v>3.5500000000000682</v>
      </c>
      <c r="D15" s="226">
        <f t="shared" si="0"/>
        <v>4.4620000000000815</v>
      </c>
      <c r="E15" s="226">
        <f t="shared" si="0"/>
        <v>4.865000000000137</v>
      </c>
      <c r="F15" s="226">
        <f t="shared" si="0"/>
        <v>5.7190000000000154</v>
      </c>
      <c r="G15" s="226">
        <f t="shared" si="0"/>
        <v>6.3710000000000377</v>
      </c>
      <c r="H15" s="226">
        <f t="shared" ref="H15:I15" si="1">H9-H10-H11-H12-H13-H14</f>
        <v>6.5589999999999904</v>
      </c>
      <c r="I15" s="226">
        <f t="shared" si="1"/>
        <v>7.1840000000001698</v>
      </c>
      <c r="J15" s="226">
        <f t="shared" ref="J15:K15" si="2">J9-J10-J11-J12-J13-J14</f>
        <v>12.028000000000112</v>
      </c>
      <c r="K15" s="226">
        <f t="shared" si="2"/>
        <v>5.8000000000000345</v>
      </c>
      <c r="L15" s="226">
        <f t="shared" ref="L15" si="3">L9-L10-L11-L12-L13-L14</f>
        <v>5.5000000000000231</v>
      </c>
      <c r="M15" s="216"/>
    </row>
    <row r="16" spans="1:16" ht="6.75" customHeight="1" x14ac:dyDescent="0.25">
      <c r="A16" s="229"/>
      <c r="B16" s="234"/>
      <c r="D16" s="231"/>
      <c r="F16" s="231"/>
      <c r="G16" s="231"/>
      <c r="H16" s="231"/>
      <c r="I16" s="231"/>
      <c r="J16" s="231"/>
      <c r="K16" s="231"/>
      <c r="L16" s="231"/>
      <c r="M16" s="216"/>
      <c r="O16" s="232"/>
      <c r="P16" s="232"/>
    </row>
    <row r="17" spans="1:16" x14ac:dyDescent="0.25">
      <c r="A17" s="233" t="s">
        <v>121</v>
      </c>
      <c r="B17" s="236">
        <v>14.256</v>
      </c>
      <c r="C17" s="237">
        <v>12.034000000000001</v>
      </c>
      <c r="D17" s="226">
        <v>12.029</v>
      </c>
      <c r="E17" s="226">
        <v>14.494</v>
      </c>
      <c r="F17" s="226">
        <v>16.3</v>
      </c>
      <c r="G17" s="226">
        <v>17.73</v>
      </c>
      <c r="H17" s="226">
        <v>17.091999999999999</v>
      </c>
      <c r="I17" s="226">
        <v>16.556999999999999</v>
      </c>
      <c r="J17" s="226">
        <v>15.667</v>
      </c>
      <c r="K17" s="226">
        <v>9.4</v>
      </c>
      <c r="L17" s="226">
        <v>11.8</v>
      </c>
      <c r="M17" s="216"/>
      <c r="O17" s="232"/>
      <c r="P17" s="232"/>
    </row>
    <row r="18" spans="1:16" x14ac:dyDescent="0.25">
      <c r="A18" s="227" t="s">
        <v>122</v>
      </c>
      <c r="B18" s="236">
        <v>5.2149999999999999</v>
      </c>
      <c r="C18" s="237">
        <v>7.5149999999999997</v>
      </c>
      <c r="D18" s="226">
        <v>8.2460000000000004</v>
      </c>
      <c r="E18" s="226">
        <v>8.9870000000000001</v>
      </c>
      <c r="F18" s="226">
        <v>9.5289999999999999</v>
      </c>
      <c r="G18" s="226">
        <v>11.7</v>
      </c>
      <c r="H18" s="226">
        <v>11.7</v>
      </c>
      <c r="I18" s="226">
        <v>9.6359999999999992</v>
      </c>
      <c r="J18" s="226">
        <v>10.324</v>
      </c>
      <c r="K18" s="226">
        <v>5.7</v>
      </c>
      <c r="L18" s="226">
        <v>6.8</v>
      </c>
      <c r="M18" s="216"/>
      <c r="O18" s="232"/>
      <c r="P18" s="232"/>
    </row>
    <row r="19" spans="1:16" x14ac:dyDescent="0.25">
      <c r="A19" s="227" t="s">
        <v>123</v>
      </c>
      <c r="B19" s="236">
        <v>4.6689999999999996</v>
      </c>
      <c r="C19" s="237">
        <v>2.2679999999999998</v>
      </c>
      <c r="D19" s="226">
        <v>1.232</v>
      </c>
      <c r="E19" s="226">
        <v>1.7769999999999999</v>
      </c>
      <c r="F19" s="226">
        <v>2.0699999999999998</v>
      </c>
      <c r="G19" s="226">
        <v>1.7</v>
      </c>
      <c r="H19" s="226">
        <v>4.0999999999999996</v>
      </c>
      <c r="I19" s="226">
        <v>5.3010000000000002</v>
      </c>
      <c r="J19" s="226">
        <v>4.306</v>
      </c>
      <c r="K19" s="226">
        <v>2.9</v>
      </c>
      <c r="L19" s="226">
        <v>3.4</v>
      </c>
      <c r="M19" s="216"/>
    </row>
    <row r="20" spans="1:16" x14ac:dyDescent="0.25">
      <c r="A20" s="227" t="s">
        <v>125</v>
      </c>
      <c r="B20" s="236">
        <v>3.9E-2</v>
      </c>
      <c r="C20" s="237">
        <v>0.13</v>
      </c>
      <c r="D20" s="226">
        <v>0.497</v>
      </c>
      <c r="E20" s="226">
        <v>2.27</v>
      </c>
      <c r="F20" s="226">
        <v>3.1970000000000001</v>
      </c>
      <c r="G20" s="226">
        <v>2.8</v>
      </c>
      <c r="H20" s="226">
        <v>0.39</v>
      </c>
      <c r="I20" s="226">
        <v>4.2999999999999997E-2</v>
      </c>
      <c r="J20" s="226">
        <v>0.34300000000000003</v>
      </c>
      <c r="K20" s="226">
        <v>0.1</v>
      </c>
      <c r="L20" s="226">
        <v>0.01</v>
      </c>
      <c r="M20" s="216"/>
    </row>
    <row r="21" spans="1:16" x14ac:dyDescent="0.25">
      <c r="A21" s="227" t="s">
        <v>124</v>
      </c>
      <c r="B21" s="236">
        <v>2.4E-2</v>
      </c>
      <c r="C21" s="237">
        <v>0.04</v>
      </c>
      <c r="D21" s="226">
        <v>3.1E-2</v>
      </c>
      <c r="E21" s="226">
        <v>0.02</v>
      </c>
      <c r="F21" s="226">
        <v>1.9E-2</v>
      </c>
      <c r="G21" s="226">
        <v>5.8000000000000003E-2</v>
      </c>
      <c r="H21" s="226">
        <v>1.4999999999999999E-2</v>
      </c>
      <c r="I21" s="226">
        <v>0.161</v>
      </c>
      <c r="J21" s="226">
        <v>6.3E-2</v>
      </c>
      <c r="K21" s="226">
        <v>0.1</v>
      </c>
      <c r="L21" s="226">
        <v>0.09</v>
      </c>
      <c r="M21" s="216"/>
    </row>
    <row r="22" spans="1:16" s="458" customFormat="1" x14ac:dyDescent="0.25">
      <c r="A22" s="457" t="s">
        <v>126</v>
      </c>
      <c r="B22" s="237">
        <f>B17-B18-B19-B20-B21</f>
        <v>4.3090000000000011</v>
      </c>
      <c r="C22" s="237">
        <f t="shared" ref="C22:I22" si="4">C17-C18-C19-C20-C21</f>
        <v>2.0810000000000013</v>
      </c>
      <c r="D22" s="237">
        <f t="shared" si="4"/>
        <v>2.0229999999999992</v>
      </c>
      <c r="E22" s="237">
        <f t="shared" si="4"/>
        <v>1.4399999999999995</v>
      </c>
      <c r="F22" s="237">
        <f t="shared" si="4"/>
        <v>1.4850000000000005</v>
      </c>
      <c r="G22" s="237">
        <f t="shared" si="4"/>
        <v>1.4720000000000011</v>
      </c>
      <c r="H22" s="237">
        <f t="shared" si="4"/>
        <v>0.88699999999999979</v>
      </c>
      <c r="I22" s="237">
        <f t="shared" si="4"/>
        <v>1.4159999999999993</v>
      </c>
      <c r="J22" s="226">
        <f>J17-J18-J19-J20-J21</f>
        <v>0.63100000000000001</v>
      </c>
      <c r="K22" s="226">
        <f>K17-K18-K19-K20-K21</f>
        <v>0.60000000000000031</v>
      </c>
      <c r="L22" s="226">
        <f>L17-L18-L19-L20-L21</f>
        <v>1.5000000000000009</v>
      </c>
      <c r="M22" s="459"/>
    </row>
    <row r="23" spans="1:16" ht="6.75" customHeight="1" x14ac:dyDescent="0.25">
      <c r="A23" s="229"/>
      <c r="B23" s="234"/>
      <c r="D23" s="231"/>
      <c r="F23" s="231"/>
      <c r="G23" s="231"/>
      <c r="H23" s="231"/>
      <c r="I23" s="231"/>
      <c r="J23" s="231"/>
      <c r="K23" s="231"/>
      <c r="L23" s="231"/>
      <c r="M23" s="216"/>
      <c r="O23" s="232"/>
      <c r="P23" s="232"/>
    </row>
    <row r="24" spans="1:16" x14ac:dyDescent="0.25">
      <c r="A24" s="233" t="s">
        <v>127</v>
      </c>
      <c r="B24" s="234">
        <v>64.525999999999996</v>
      </c>
      <c r="C24" s="226">
        <v>35.871000000000002</v>
      </c>
      <c r="D24" s="226">
        <v>41.048000000000002</v>
      </c>
      <c r="E24" s="226">
        <v>47.125999999999998</v>
      </c>
      <c r="F24" s="226">
        <v>76.647000000000006</v>
      </c>
      <c r="G24" s="226">
        <v>36.295000000000002</v>
      </c>
      <c r="H24" s="226">
        <v>63.537999999999997</v>
      </c>
      <c r="I24" s="226">
        <v>73.951999999999998</v>
      </c>
      <c r="J24" s="226">
        <v>106.666</v>
      </c>
      <c r="K24" s="226">
        <v>58</v>
      </c>
      <c r="L24" s="226">
        <v>85.4</v>
      </c>
      <c r="M24" s="216"/>
    </row>
    <row r="25" spans="1:16" x14ac:dyDescent="0.25">
      <c r="A25" s="227" t="s">
        <v>128</v>
      </c>
      <c r="B25" s="234">
        <v>3.3660000000000001</v>
      </c>
      <c r="C25" s="226">
        <v>5.4530000000000003</v>
      </c>
      <c r="D25" s="226">
        <v>3.98</v>
      </c>
      <c r="E25" s="226">
        <v>5.4189999999999996</v>
      </c>
      <c r="F25" s="226">
        <v>5.931</v>
      </c>
      <c r="G25" s="226">
        <v>4.9000000000000004</v>
      </c>
      <c r="H25" s="226">
        <v>5.21</v>
      </c>
      <c r="I25" s="226">
        <v>6.8150000000000004</v>
      </c>
      <c r="J25" s="226">
        <v>9.609</v>
      </c>
      <c r="K25" s="226">
        <v>4.7</v>
      </c>
      <c r="L25" s="226">
        <v>8.1999999999999993</v>
      </c>
      <c r="M25" s="216"/>
      <c r="O25" s="232"/>
      <c r="P25" s="232"/>
    </row>
    <row r="26" spans="1:16" x14ac:dyDescent="0.25">
      <c r="A26" s="227" t="s">
        <v>129</v>
      </c>
      <c r="B26" s="234">
        <v>30.498999999999999</v>
      </c>
      <c r="C26" s="226">
        <v>4.9790000000000001</v>
      </c>
      <c r="D26" s="226">
        <v>14.420999999999999</v>
      </c>
      <c r="E26" s="226">
        <v>16.513999999999999</v>
      </c>
      <c r="F26" s="226">
        <v>51.768999999999998</v>
      </c>
      <c r="G26" s="226">
        <v>15.242000000000001</v>
      </c>
      <c r="H26" s="226">
        <v>39</v>
      </c>
      <c r="I26" s="226">
        <v>42.75</v>
      </c>
      <c r="J26" s="226">
        <v>68.879000000000005</v>
      </c>
      <c r="K26" s="226">
        <v>39.9</v>
      </c>
      <c r="L26" s="226">
        <v>51.2</v>
      </c>
      <c r="M26" s="216"/>
      <c r="O26" s="232"/>
      <c r="P26" s="232"/>
    </row>
    <row r="27" spans="1:16" x14ac:dyDescent="0.25">
      <c r="A27" s="227" t="s">
        <v>130</v>
      </c>
      <c r="B27" s="234">
        <v>16.323</v>
      </c>
      <c r="C27" s="226">
        <v>12.051</v>
      </c>
      <c r="D27" s="226">
        <v>13.843</v>
      </c>
      <c r="E27" s="226">
        <v>11.486000000000001</v>
      </c>
      <c r="F27" s="226">
        <v>10.5</v>
      </c>
      <c r="G27" s="226">
        <v>11.8</v>
      </c>
      <c r="H27" s="226">
        <v>16.2</v>
      </c>
      <c r="I27" s="226">
        <v>17.12</v>
      </c>
      <c r="J27" s="226">
        <v>15.688000000000001</v>
      </c>
      <c r="K27" s="226">
        <v>8.1999999999999993</v>
      </c>
      <c r="L27" s="226">
        <v>11.1</v>
      </c>
      <c r="M27" s="216"/>
      <c r="O27" s="232"/>
      <c r="P27" s="232"/>
    </row>
    <row r="28" spans="1:16" x14ac:dyDescent="0.25">
      <c r="A28" s="227" t="s">
        <v>131</v>
      </c>
      <c r="B28" s="234">
        <v>1.085</v>
      </c>
      <c r="C28" s="226">
        <v>0.996</v>
      </c>
      <c r="D28" s="226">
        <v>1.2030000000000001</v>
      </c>
      <c r="E28" s="226">
        <v>1.163</v>
      </c>
      <c r="F28" s="226">
        <v>1.964</v>
      </c>
      <c r="G28" s="226">
        <v>2</v>
      </c>
      <c r="H28" s="226">
        <v>1.8</v>
      </c>
      <c r="I28" s="226">
        <v>1.0529999999999999</v>
      </c>
      <c r="J28" s="226">
        <v>1.867</v>
      </c>
      <c r="K28" s="226">
        <v>0.7</v>
      </c>
      <c r="L28" s="226">
        <v>4.7</v>
      </c>
      <c r="M28" s="216"/>
      <c r="O28" s="232"/>
      <c r="P28" s="232"/>
    </row>
    <row r="29" spans="1:16" x14ac:dyDescent="0.25">
      <c r="A29" s="227" t="s">
        <v>132</v>
      </c>
      <c r="B29" s="234">
        <v>13.211</v>
      </c>
      <c r="C29" s="226">
        <v>12.321999999999999</v>
      </c>
      <c r="D29" s="226">
        <v>5.2919999999999998</v>
      </c>
      <c r="E29" s="226">
        <v>6.2149999999999999</v>
      </c>
      <c r="F29" s="226">
        <v>3.2360000000000002</v>
      </c>
      <c r="G29" s="226">
        <v>0.89200000000000002</v>
      </c>
      <c r="H29" s="226">
        <v>0.95199999999999996</v>
      </c>
      <c r="I29" s="226">
        <v>4.4770000000000003</v>
      </c>
      <c r="J29" s="226">
        <v>6.9649999999999999</v>
      </c>
      <c r="K29" s="226">
        <v>3.5</v>
      </c>
      <c r="L29" s="226">
        <v>7.2</v>
      </c>
      <c r="M29" s="216"/>
      <c r="O29" s="232"/>
      <c r="P29" s="232"/>
    </row>
    <row r="30" spans="1:16" x14ac:dyDescent="0.25">
      <c r="A30" s="229" t="s">
        <v>126</v>
      </c>
      <c r="B30" s="235">
        <f>B24-SUM(B25:B29)</f>
        <v>4.1999999999987381E-2</v>
      </c>
      <c r="C30" s="226">
        <f t="shared" ref="C30:G30" si="5">C24-C25-C26-C27-C28-C29</f>
        <v>7.0000000000003837E-2</v>
      </c>
      <c r="D30" s="226">
        <f t="shared" si="5"/>
        <v>2.3090000000000055</v>
      </c>
      <c r="E30" s="226">
        <f t="shared" si="5"/>
        <v>6.3290000000000006</v>
      </c>
      <c r="F30" s="226">
        <f t="shared" si="5"/>
        <v>3.2470000000000092</v>
      </c>
      <c r="G30" s="226">
        <f t="shared" si="5"/>
        <v>1.4610000000000016</v>
      </c>
      <c r="H30" s="226">
        <f t="shared" ref="H30:I30" si="6">H24-H25-H26-H27-H28-H29</f>
        <v>0.37599999999999656</v>
      </c>
      <c r="I30" s="226">
        <f t="shared" si="6"/>
        <v>1.7369999999999992</v>
      </c>
      <c r="J30" s="226">
        <f t="shared" ref="J30:K30" si="7">J24-J25-J26-J27-J28-J29</f>
        <v>3.6579999999999977</v>
      </c>
      <c r="K30" s="226">
        <f t="shared" si="7"/>
        <v>0.99999999999999911</v>
      </c>
      <c r="L30" s="226">
        <f t="shared" ref="L30" si="8">L24-L25-L26-L27-L28-L29</f>
        <v>2.9999999999999991</v>
      </c>
      <c r="M30" s="216"/>
      <c r="O30" s="232"/>
      <c r="P30" s="232"/>
    </row>
    <row r="31" spans="1:16" ht="8.25" customHeight="1" x14ac:dyDescent="0.25">
      <c r="A31" s="227"/>
      <c r="B31" s="234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16"/>
      <c r="O31" s="232"/>
      <c r="P31" s="232"/>
    </row>
    <row r="32" spans="1:16" x14ac:dyDescent="0.25">
      <c r="A32" s="233" t="s">
        <v>133</v>
      </c>
      <c r="B32" s="234">
        <f t="shared" ref="B32:J32" si="9">B38-B9-B17-B24</f>
        <v>0.95700000000003627</v>
      </c>
      <c r="C32" s="226">
        <f t="shared" si="9"/>
        <v>1.9089999999999634</v>
      </c>
      <c r="D32" s="226">
        <f t="shared" si="9"/>
        <v>40.310999999999922</v>
      </c>
      <c r="E32" s="226">
        <f t="shared" si="9"/>
        <v>24.679999999999957</v>
      </c>
      <c r="F32" s="226">
        <f t="shared" si="9"/>
        <v>2.9890000000000327</v>
      </c>
      <c r="G32" s="226">
        <f t="shared" si="9"/>
        <v>3.7670000000000243</v>
      </c>
      <c r="H32" s="226">
        <f t="shared" si="9"/>
        <v>4.303000000000111</v>
      </c>
      <c r="I32" s="226">
        <f t="shared" si="9"/>
        <v>3.8919999999999533</v>
      </c>
      <c r="J32" s="226">
        <f t="shared" si="9"/>
        <v>3.8839999999998724</v>
      </c>
      <c r="K32" s="226">
        <f t="shared" ref="K32:L32" si="10">K38-K9-K17-K24</f>
        <v>0.89999999999995595</v>
      </c>
      <c r="L32" s="226">
        <f t="shared" si="10"/>
        <v>1.5999999999999517</v>
      </c>
      <c r="M32" s="216"/>
      <c r="O32" s="232"/>
      <c r="P32" s="232"/>
    </row>
    <row r="33" spans="1:19" x14ac:dyDescent="0.25">
      <c r="A33" s="227" t="s">
        <v>134</v>
      </c>
      <c r="B33" s="234">
        <v>1E-3</v>
      </c>
      <c r="C33" s="226">
        <v>0.63900000000000001</v>
      </c>
      <c r="D33" s="226">
        <v>0</v>
      </c>
      <c r="E33" s="226">
        <v>8.2000000000000003E-2</v>
      </c>
      <c r="F33" s="226">
        <v>0.38300000000000001</v>
      </c>
      <c r="G33" s="226">
        <v>1E-3</v>
      </c>
      <c r="H33" s="226">
        <v>0</v>
      </c>
      <c r="I33" s="226">
        <v>2.8000000000000001E-2</v>
      </c>
      <c r="J33" s="226">
        <v>0</v>
      </c>
      <c r="K33" s="226">
        <v>0</v>
      </c>
      <c r="L33" s="226">
        <v>0</v>
      </c>
      <c r="M33" s="216"/>
      <c r="O33" s="232"/>
      <c r="P33" s="232"/>
    </row>
    <row r="34" spans="1:19" x14ac:dyDescent="0.25">
      <c r="A34" s="227" t="s">
        <v>135</v>
      </c>
      <c r="B34" s="234">
        <v>0.52200000000000002</v>
      </c>
      <c r="C34" s="226">
        <v>0.432</v>
      </c>
      <c r="D34" s="226">
        <v>1.0389999999999999</v>
      </c>
      <c r="E34" s="226">
        <v>0.873</v>
      </c>
      <c r="F34" s="226">
        <v>0.57299999999999995</v>
      </c>
      <c r="G34" s="226">
        <v>2.5</v>
      </c>
      <c r="H34" s="226">
        <v>1.3</v>
      </c>
      <c r="I34" s="226">
        <v>0.59</v>
      </c>
      <c r="J34" s="226">
        <v>0.65300000000000002</v>
      </c>
      <c r="K34" s="226">
        <v>0.4</v>
      </c>
      <c r="L34" s="226">
        <v>0.9</v>
      </c>
      <c r="M34" s="216"/>
      <c r="O34" s="232"/>
      <c r="P34" s="232"/>
    </row>
    <row r="35" spans="1:19" x14ac:dyDescent="0.25">
      <c r="A35" s="227" t="s">
        <v>136</v>
      </c>
      <c r="B35" s="234">
        <v>1.6E-2</v>
      </c>
      <c r="C35" s="226">
        <v>0.41699999999999998</v>
      </c>
      <c r="D35" s="226">
        <v>37.393000000000001</v>
      </c>
      <c r="E35" s="226">
        <v>23.088999999999999</v>
      </c>
      <c r="F35" s="226">
        <v>0.99199999999999999</v>
      </c>
      <c r="G35" s="226">
        <v>0.626</v>
      </c>
      <c r="H35" s="226">
        <v>2.2999999999999998</v>
      </c>
      <c r="I35" s="226">
        <v>2.4239999999999999</v>
      </c>
      <c r="J35" s="226">
        <v>6.5000000000000002E-2</v>
      </c>
      <c r="K35" s="226">
        <v>0.1</v>
      </c>
      <c r="L35" s="226">
        <v>0.3</v>
      </c>
      <c r="M35" s="216"/>
      <c r="O35" s="232"/>
      <c r="P35" s="232"/>
    </row>
    <row r="36" spans="1:19" x14ac:dyDescent="0.25">
      <c r="A36" s="227" t="s">
        <v>126</v>
      </c>
      <c r="B36" s="226">
        <f t="shared" ref="B36:E36" si="11">B32-B33-B34-B35</f>
        <v>0.41800000000003623</v>
      </c>
      <c r="C36" s="226">
        <f t="shared" si="11"/>
        <v>0.42099999999996346</v>
      </c>
      <c r="D36" s="226">
        <f t="shared" si="11"/>
        <v>1.8789999999999196</v>
      </c>
      <c r="E36" s="226">
        <f t="shared" si="11"/>
        <v>0.6359999999999566</v>
      </c>
      <c r="F36" s="226">
        <v>0</v>
      </c>
      <c r="G36" s="226">
        <f>G32-G33-G34-G35</f>
        <v>0.64000000000002444</v>
      </c>
      <c r="H36" s="226">
        <f t="shared" ref="H36:I36" si="12">H32-H33-H34-H35</f>
        <v>0.70300000000011131</v>
      </c>
      <c r="I36" s="226">
        <f t="shared" si="12"/>
        <v>0.84999999999995346</v>
      </c>
      <c r="J36" s="226">
        <f t="shared" ref="J36:L36" si="13">J32-J33-J34-J35</f>
        <v>3.1659999999998725</v>
      </c>
      <c r="K36" s="226">
        <f t="shared" si="13"/>
        <v>0.39999999999995595</v>
      </c>
      <c r="L36" s="226">
        <f t="shared" si="13"/>
        <v>0.39999999999995167</v>
      </c>
      <c r="M36" s="216"/>
      <c r="O36" s="232"/>
      <c r="P36" s="232"/>
    </row>
    <row r="37" spans="1:19" ht="6" customHeight="1" x14ac:dyDescent="0.25">
      <c r="A37" s="227"/>
      <c r="B37" s="234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16"/>
      <c r="O37" s="232"/>
      <c r="P37" s="232"/>
    </row>
    <row r="38" spans="1:19" s="209" customFormat="1" x14ac:dyDescent="0.25">
      <c r="A38" s="238" t="s">
        <v>137</v>
      </c>
      <c r="B38" s="239">
        <v>621.24099999999999</v>
      </c>
      <c r="C38" s="240">
        <v>674.64400000000001</v>
      </c>
      <c r="D38" s="240">
        <v>740.44899999999996</v>
      </c>
      <c r="E38" s="240">
        <v>789.44200000000001</v>
      </c>
      <c r="F38" s="240">
        <v>772.71600000000001</v>
      </c>
      <c r="G38" s="240">
        <v>750.51800000000003</v>
      </c>
      <c r="H38" s="240">
        <v>879.69500000000005</v>
      </c>
      <c r="I38" s="240">
        <v>925.65899999999999</v>
      </c>
      <c r="J38" s="240">
        <v>1190.8</v>
      </c>
      <c r="K38" s="240">
        <v>587.5</v>
      </c>
      <c r="L38" s="240">
        <v>622.79999999999995</v>
      </c>
      <c r="M38" s="241"/>
      <c r="O38" s="241"/>
      <c r="P38" s="241"/>
    </row>
    <row r="39" spans="1:19" ht="12.75" customHeight="1" x14ac:dyDescent="0.25">
      <c r="A39" s="242" t="s">
        <v>346</v>
      </c>
      <c r="D39" s="242"/>
      <c r="E39" s="243"/>
      <c r="F39" s="244"/>
      <c r="G39" s="244"/>
      <c r="H39" s="244"/>
      <c r="I39" s="244"/>
      <c r="J39" s="244"/>
      <c r="K39" s="244"/>
      <c r="L39" s="244"/>
      <c r="M39" s="245"/>
      <c r="O39" s="245"/>
      <c r="P39" s="245"/>
      <c r="Q39" s="245"/>
      <c r="R39" s="245"/>
      <c r="S39" s="245"/>
    </row>
    <row r="40" spans="1:19" ht="10.5" customHeight="1" x14ac:dyDescent="0.25">
      <c r="A40" s="246" t="s">
        <v>138</v>
      </c>
      <c r="D40" s="246"/>
      <c r="E40" s="247"/>
      <c r="F40" s="248"/>
      <c r="G40" s="248"/>
      <c r="H40" s="248"/>
      <c r="I40" s="248"/>
      <c r="J40" s="248"/>
      <c r="K40" s="248"/>
      <c r="L40" s="248"/>
      <c r="M40" s="216"/>
    </row>
    <row r="41" spans="1:19" ht="10.5" customHeight="1" x14ac:dyDescent="0.25">
      <c r="A41" s="249" t="s">
        <v>432</v>
      </c>
      <c r="D41" s="249"/>
      <c r="E41" s="250"/>
      <c r="F41" s="251"/>
      <c r="G41" s="251"/>
      <c r="H41" s="251"/>
      <c r="I41" s="251"/>
      <c r="J41" s="251"/>
      <c r="K41" s="251"/>
      <c r="L41" s="251"/>
      <c r="M41" s="216"/>
    </row>
    <row r="42" spans="1:19" ht="10.5" customHeight="1" x14ac:dyDescent="0.3">
      <c r="A42" s="19" t="s">
        <v>438</v>
      </c>
      <c r="D42" s="252"/>
      <c r="E42" s="253"/>
      <c r="F42" s="254"/>
      <c r="G42" s="254"/>
      <c r="H42" s="254"/>
      <c r="I42" s="254"/>
      <c r="J42" s="254"/>
      <c r="K42" s="254"/>
      <c r="L42" s="254"/>
      <c r="M42" s="216"/>
    </row>
    <row r="43" spans="1:19" ht="11.25" customHeight="1" x14ac:dyDescent="0.25">
      <c r="M43" s="216"/>
    </row>
    <row r="44" spans="1:19" ht="11.15" customHeight="1" x14ac:dyDescent="0.25">
      <c r="M44" s="216"/>
    </row>
    <row r="45" spans="1:19" ht="11.15" customHeight="1" x14ac:dyDescent="0.25">
      <c r="A45" s="255"/>
      <c r="D45" s="255"/>
      <c r="E45" s="256"/>
      <c r="F45" s="257"/>
      <c r="G45" s="257"/>
      <c r="H45" s="257"/>
      <c r="I45" s="257"/>
      <c r="J45" s="257"/>
      <c r="K45" s="257"/>
      <c r="L45" s="257"/>
      <c r="M45" s="216"/>
    </row>
    <row r="47" spans="1:19" x14ac:dyDescent="0.25">
      <c r="M47" s="216"/>
    </row>
    <row r="62" spans="1:12" x14ac:dyDescent="0.25">
      <c r="A62" s="232"/>
      <c r="B62" s="232"/>
      <c r="C62" s="226"/>
      <c r="D62" s="232"/>
      <c r="E62" s="226"/>
      <c r="F62" s="260"/>
      <c r="G62" s="260"/>
      <c r="H62" s="260"/>
      <c r="I62" s="260"/>
      <c r="J62" s="260"/>
      <c r="K62" s="260"/>
      <c r="L62" s="260"/>
    </row>
    <row r="63" spans="1:12" x14ac:dyDescent="0.25">
      <c r="A63" s="232"/>
      <c r="B63" s="232"/>
      <c r="C63" s="226"/>
      <c r="D63" s="232"/>
      <c r="E63" s="226"/>
      <c r="F63" s="260"/>
      <c r="G63" s="260"/>
      <c r="H63" s="260"/>
      <c r="I63" s="260"/>
      <c r="J63" s="260"/>
      <c r="K63" s="260"/>
      <c r="L63" s="260"/>
    </row>
    <row r="64" spans="1:12" x14ac:dyDescent="0.25">
      <c r="A64" s="232"/>
      <c r="B64" s="258"/>
      <c r="C64" s="226"/>
      <c r="D64" s="232"/>
      <c r="E64" s="226"/>
      <c r="F64" s="260"/>
      <c r="G64" s="260"/>
      <c r="H64" s="260"/>
      <c r="I64" s="260"/>
      <c r="J64" s="260"/>
      <c r="K64" s="260"/>
      <c r="L64" s="260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F61" transitionEvaluation="1" transitionEntry="1">
    <pageSetUpPr fitToPage="1"/>
  </sheetPr>
  <dimension ref="A1:CO141"/>
  <sheetViews>
    <sheetView zoomScale="130" zoomScaleNormal="130" workbookViewId="0">
      <pane xSplit="2" ySplit="5" topLeftCell="F61" activePane="bottomRight" state="frozen"/>
      <selection pane="topRight" activeCell="C1" sqref="C1"/>
      <selection pane="bottomLeft" activeCell="A6" sqref="A6"/>
      <selection pane="bottomRight" activeCell="J64" sqref="J64"/>
    </sheetView>
  </sheetViews>
  <sheetFormatPr defaultColWidth="9.6640625" defaultRowHeight="12.5" x14ac:dyDescent="0.25"/>
  <cols>
    <col min="1" max="1" width="32.9140625" style="230" customWidth="1"/>
    <col min="2" max="2" width="7.08203125" style="230" customWidth="1"/>
    <col min="3" max="3" width="12.08203125" style="230" customWidth="1"/>
    <col min="4" max="4" width="11.33203125" style="230" customWidth="1"/>
    <col min="5" max="7" width="12.9140625" style="230" customWidth="1"/>
    <col min="8" max="9" width="13.08203125" style="230" customWidth="1"/>
    <col min="10" max="11" width="15.75" style="230" customWidth="1"/>
    <col min="12" max="12" width="14.4140625" style="474" customWidth="1"/>
    <col min="13" max="13" width="15.75" style="230" customWidth="1"/>
    <col min="14" max="14" width="14.4140625" style="474" customWidth="1"/>
    <col min="16" max="16" width="14.4140625" style="474" customWidth="1"/>
    <col min="17" max="22" width="9.6640625" style="230"/>
    <col min="23" max="23" width="12.6640625" style="230" customWidth="1"/>
    <col min="24" max="256" width="9.6640625" style="230"/>
    <col min="257" max="257" width="32.9140625" style="230" customWidth="1"/>
    <col min="258" max="258" width="6.9140625" style="230" customWidth="1"/>
    <col min="259" max="259" width="11.08203125" style="230" customWidth="1"/>
    <col min="260" max="260" width="12.33203125" style="230" customWidth="1"/>
    <col min="261" max="261" width="13.08203125" style="230" customWidth="1"/>
    <col min="262" max="262" width="12.08203125" style="230" customWidth="1"/>
    <col min="263" max="263" width="11.33203125" style="230" customWidth="1"/>
    <col min="264" max="267" width="12.9140625" style="230" customWidth="1"/>
    <col min="268" max="268" width="13.08203125" style="230" customWidth="1"/>
    <col min="269" max="269" width="12.9140625" style="230" customWidth="1"/>
    <col min="270" max="270" width="13.08203125" style="230" customWidth="1"/>
    <col min="271" max="278" width="9.6640625" style="230"/>
    <col min="279" max="279" width="12.6640625" style="230" customWidth="1"/>
    <col min="280" max="512" width="9.6640625" style="230"/>
    <col min="513" max="513" width="32.9140625" style="230" customWidth="1"/>
    <col min="514" max="514" width="6.9140625" style="230" customWidth="1"/>
    <col min="515" max="515" width="11.08203125" style="230" customWidth="1"/>
    <col min="516" max="516" width="12.33203125" style="230" customWidth="1"/>
    <col min="517" max="517" width="13.08203125" style="230" customWidth="1"/>
    <col min="518" max="518" width="12.08203125" style="230" customWidth="1"/>
    <col min="519" max="519" width="11.33203125" style="230" customWidth="1"/>
    <col min="520" max="523" width="12.9140625" style="230" customWidth="1"/>
    <col min="524" max="524" width="13.08203125" style="230" customWidth="1"/>
    <col min="525" max="525" width="12.9140625" style="230" customWidth="1"/>
    <col min="526" max="526" width="13.08203125" style="230" customWidth="1"/>
    <col min="527" max="534" width="9.6640625" style="230"/>
    <col min="535" max="535" width="12.6640625" style="230" customWidth="1"/>
    <col min="536" max="768" width="9.6640625" style="230"/>
    <col min="769" max="769" width="32.9140625" style="230" customWidth="1"/>
    <col min="770" max="770" width="6.9140625" style="230" customWidth="1"/>
    <col min="771" max="771" width="11.08203125" style="230" customWidth="1"/>
    <col min="772" max="772" width="12.33203125" style="230" customWidth="1"/>
    <col min="773" max="773" width="13.08203125" style="230" customWidth="1"/>
    <col min="774" max="774" width="12.08203125" style="230" customWidth="1"/>
    <col min="775" max="775" width="11.33203125" style="230" customWidth="1"/>
    <col min="776" max="779" width="12.9140625" style="230" customWidth="1"/>
    <col min="780" max="780" width="13.08203125" style="230" customWidth="1"/>
    <col min="781" max="781" width="12.9140625" style="230" customWidth="1"/>
    <col min="782" max="782" width="13.08203125" style="230" customWidth="1"/>
    <col min="783" max="790" width="9.6640625" style="230"/>
    <col min="791" max="791" width="12.6640625" style="230" customWidth="1"/>
    <col min="792" max="1024" width="9.6640625" style="230"/>
    <col min="1025" max="1025" width="32.9140625" style="230" customWidth="1"/>
    <col min="1026" max="1026" width="6.9140625" style="230" customWidth="1"/>
    <col min="1027" max="1027" width="11.08203125" style="230" customWidth="1"/>
    <col min="1028" max="1028" width="12.33203125" style="230" customWidth="1"/>
    <col min="1029" max="1029" width="13.08203125" style="230" customWidth="1"/>
    <col min="1030" max="1030" width="12.08203125" style="230" customWidth="1"/>
    <col min="1031" max="1031" width="11.33203125" style="230" customWidth="1"/>
    <col min="1032" max="1035" width="12.9140625" style="230" customWidth="1"/>
    <col min="1036" max="1036" width="13.08203125" style="230" customWidth="1"/>
    <col min="1037" max="1037" width="12.9140625" style="230" customWidth="1"/>
    <col min="1038" max="1038" width="13.08203125" style="230" customWidth="1"/>
    <col min="1039" max="1046" width="9.6640625" style="230"/>
    <col min="1047" max="1047" width="12.6640625" style="230" customWidth="1"/>
    <col min="1048" max="1280" width="9.6640625" style="230"/>
    <col min="1281" max="1281" width="32.9140625" style="230" customWidth="1"/>
    <col min="1282" max="1282" width="6.9140625" style="230" customWidth="1"/>
    <col min="1283" max="1283" width="11.08203125" style="230" customWidth="1"/>
    <col min="1284" max="1284" width="12.33203125" style="230" customWidth="1"/>
    <col min="1285" max="1285" width="13.08203125" style="230" customWidth="1"/>
    <col min="1286" max="1286" width="12.08203125" style="230" customWidth="1"/>
    <col min="1287" max="1287" width="11.33203125" style="230" customWidth="1"/>
    <col min="1288" max="1291" width="12.9140625" style="230" customWidth="1"/>
    <col min="1292" max="1292" width="13.08203125" style="230" customWidth="1"/>
    <col min="1293" max="1293" width="12.9140625" style="230" customWidth="1"/>
    <col min="1294" max="1294" width="13.08203125" style="230" customWidth="1"/>
    <col min="1295" max="1302" width="9.6640625" style="230"/>
    <col min="1303" max="1303" width="12.6640625" style="230" customWidth="1"/>
    <col min="1304" max="1536" width="9.6640625" style="230"/>
    <col min="1537" max="1537" width="32.9140625" style="230" customWidth="1"/>
    <col min="1538" max="1538" width="6.9140625" style="230" customWidth="1"/>
    <col min="1539" max="1539" width="11.08203125" style="230" customWidth="1"/>
    <col min="1540" max="1540" width="12.33203125" style="230" customWidth="1"/>
    <col min="1541" max="1541" width="13.08203125" style="230" customWidth="1"/>
    <col min="1542" max="1542" width="12.08203125" style="230" customWidth="1"/>
    <col min="1543" max="1543" width="11.33203125" style="230" customWidth="1"/>
    <col min="1544" max="1547" width="12.9140625" style="230" customWidth="1"/>
    <col min="1548" max="1548" width="13.08203125" style="230" customWidth="1"/>
    <col min="1549" max="1549" width="12.9140625" style="230" customWidth="1"/>
    <col min="1550" max="1550" width="13.08203125" style="230" customWidth="1"/>
    <col min="1551" max="1558" width="9.6640625" style="230"/>
    <col min="1559" max="1559" width="12.6640625" style="230" customWidth="1"/>
    <col min="1560" max="1792" width="9.6640625" style="230"/>
    <col min="1793" max="1793" width="32.9140625" style="230" customWidth="1"/>
    <col min="1794" max="1794" width="6.9140625" style="230" customWidth="1"/>
    <col min="1795" max="1795" width="11.08203125" style="230" customWidth="1"/>
    <col min="1796" max="1796" width="12.33203125" style="230" customWidth="1"/>
    <col min="1797" max="1797" width="13.08203125" style="230" customWidth="1"/>
    <col min="1798" max="1798" width="12.08203125" style="230" customWidth="1"/>
    <col min="1799" max="1799" width="11.33203125" style="230" customWidth="1"/>
    <col min="1800" max="1803" width="12.9140625" style="230" customWidth="1"/>
    <col min="1804" max="1804" width="13.08203125" style="230" customWidth="1"/>
    <col min="1805" max="1805" width="12.9140625" style="230" customWidth="1"/>
    <col min="1806" max="1806" width="13.08203125" style="230" customWidth="1"/>
    <col min="1807" max="1814" width="9.6640625" style="230"/>
    <col min="1815" max="1815" width="12.6640625" style="230" customWidth="1"/>
    <col min="1816" max="2048" width="9.6640625" style="230"/>
    <col min="2049" max="2049" width="32.9140625" style="230" customWidth="1"/>
    <col min="2050" max="2050" width="6.9140625" style="230" customWidth="1"/>
    <col min="2051" max="2051" width="11.08203125" style="230" customWidth="1"/>
    <col min="2052" max="2052" width="12.33203125" style="230" customWidth="1"/>
    <col min="2053" max="2053" width="13.08203125" style="230" customWidth="1"/>
    <col min="2054" max="2054" width="12.08203125" style="230" customWidth="1"/>
    <col min="2055" max="2055" width="11.33203125" style="230" customWidth="1"/>
    <col min="2056" max="2059" width="12.9140625" style="230" customWidth="1"/>
    <col min="2060" max="2060" width="13.08203125" style="230" customWidth="1"/>
    <col min="2061" max="2061" width="12.9140625" style="230" customWidth="1"/>
    <col min="2062" max="2062" width="13.08203125" style="230" customWidth="1"/>
    <col min="2063" max="2070" width="9.6640625" style="230"/>
    <col min="2071" max="2071" width="12.6640625" style="230" customWidth="1"/>
    <col min="2072" max="2304" width="9.6640625" style="230"/>
    <col min="2305" max="2305" width="32.9140625" style="230" customWidth="1"/>
    <col min="2306" max="2306" width="6.9140625" style="230" customWidth="1"/>
    <col min="2307" max="2307" width="11.08203125" style="230" customWidth="1"/>
    <col min="2308" max="2308" width="12.33203125" style="230" customWidth="1"/>
    <col min="2309" max="2309" width="13.08203125" style="230" customWidth="1"/>
    <col min="2310" max="2310" width="12.08203125" style="230" customWidth="1"/>
    <col min="2311" max="2311" width="11.33203125" style="230" customWidth="1"/>
    <col min="2312" max="2315" width="12.9140625" style="230" customWidth="1"/>
    <col min="2316" max="2316" width="13.08203125" style="230" customWidth="1"/>
    <col min="2317" max="2317" width="12.9140625" style="230" customWidth="1"/>
    <col min="2318" max="2318" width="13.08203125" style="230" customWidth="1"/>
    <col min="2319" max="2326" width="9.6640625" style="230"/>
    <col min="2327" max="2327" width="12.6640625" style="230" customWidth="1"/>
    <col min="2328" max="2560" width="9.6640625" style="230"/>
    <col min="2561" max="2561" width="32.9140625" style="230" customWidth="1"/>
    <col min="2562" max="2562" width="6.9140625" style="230" customWidth="1"/>
    <col min="2563" max="2563" width="11.08203125" style="230" customWidth="1"/>
    <col min="2564" max="2564" width="12.33203125" style="230" customWidth="1"/>
    <col min="2565" max="2565" width="13.08203125" style="230" customWidth="1"/>
    <col min="2566" max="2566" width="12.08203125" style="230" customWidth="1"/>
    <col min="2567" max="2567" width="11.33203125" style="230" customWidth="1"/>
    <col min="2568" max="2571" width="12.9140625" style="230" customWidth="1"/>
    <col min="2572" max="2572" width="13.08203125" style="230" customWidth="1"/>
    <col min="2573" max="2573" width="12.9140625" style="230" customWidth="1"/>
    <col min="2574" max="2574" width="13.08203125" style="230" customWidth="1"/>
    <col min="2575" max="2582" width="9.6640625" style="230"/>
    <col min="2583" max="2583" width="12.6640625" style="230" customWidth="1"/>
    <col min="2584" max="2816" width="9.6640625" style="230"/>
    <col min="2817" max="2817" width="32.9140625" style="230" customWidth="1"/>
    <col min="2818" max="2818" width="6.9140625" style="230" customWidth="1"/>
    <col min="2819" max="2819" width="11.08203125" style="230" customWidth="1"/>
    <col min="2820" max="2820" width="12.33203125" style="230" customWidth="1"/>
    <col min="2821" max="2821" width="13.08203125" style="230" customWidth="1"/>
    <col min="2822" max="2822" width="12.08203125" style="230" customWidth="1"/>
    <col min="2823" max="2823" width="11.33203125" style="230" customWidth="1"/>
    <col min="2824" max="2827" width="12.9140625" style="230" customWidth="1"/>
    <col min="2828" max="2828" width="13.08203125" style="230" customWidth="1"/>
    <col min="2829" max="2829" width="12.9140625" style="230" customWidth="1"/>
    <col min="2830" max="2830" width="13.08203125" style="230" customWidth="1"/>
    <col min="2831" max="2838" width="9.6640625" style="230"/>
    <col min="2839" max="2839" width="12.6640625" style="230" customWidth="1"/>
    <col min="2840" max="3072" width="9.6640625" style="230"/>
    <col min="3073" max="3073" width="32.9140625" style="230" customWidth="1"/>
    <col min="3074" max="3074" width="6.9140625" style="230" customWidth="1"/>
    <col min="3075" max="3075" width="11.08203125" style="230" customWidth="1"/>
    <col min="3076" max="3076" width="12.33203125" style="230" customWidth="1"/>
    <col min="3077" max="3077" width="13.08203125" style="230" customWidth="1"/>
    <col min="3078" max="3078" width="12.08203125" style="230" customWidth="1"/>
    <col min="3079" max="3079" width="11.33203125" style="230" customWidth="1"/>
    <col min="3080" max="3083" width="12.9140625" style="230" customWidth="1"/>
    <col min="3084" max="3084" width="13.08203125" style="230" customWidth="1"/>
    <col min="3085" max="3085" width="12.9140625" style="230" customWidth="1"/>
    <col min="3086" max="3086" width="13.08203125" style="230" customWidth="1"/>
    <col min="3087" max="3094" width="9.6640625" style="230"/>
    <col min="3095" max="3095" width="12.6640625" style="230" customWidth="1"/>
    <col min="3096" max="3328" width="9.6640625" style="230"/>
    <col min="3329" max="3329" width="32.9140625" style="230" customWidth="1"/>
    <col min="3330" max="3330" width="6.9140625" style="230" customWidth="1"/>
    <col min="3331" max="3331" width="11.08203125" style="230" customWidth="1"/>
    <col min="3332" max="3332" width="12.33203125" style="230" customWidth="1"/>
    <col min="3333" max="3333" width="13.08203125" style="230" customWidth="1"/>
    <col min="3334" max="3334" width="12.08203125" style="230" customWidth="1"/>
    <col min="3335" max="3335" width="11.33203125" style="230" customWidth="1"/>
    <col min="3336" max="3339" width="12.9140625" style="230" customWidth="1"/>
    <col min="3340" max="3340" width="13.08203125" style="230" customWidth="1"/>
    <col min="3341" max="3341" width="12.9140625" style="230" customWidth="1"/>
    <col min="3342" max="3342" width="13.08203125" style="230" customWidth="1"/>
    <col min="3343" max="3350" width="9.6640625" style="230"/>
    <col min="3351" max="3351" width="12.6640625" style="230" customWidth="1"/>
    <col min="3352" max="3584" width="9.6640625" style="230"/>
    <col min="3585" max="3585" width="32.9140625" style="230" customWidth="1"/>
    <col min="3586" max="3586" width="6.9140625" style="230" customWidth="1"/>
    <col min="3587" max="3587" width="11.08203125" style="230" customWidth="1"/>
    <col min="3588" max="3588" width="12.33203125" style="230" customWidth="1"/>
    <col min="3589" max="3589" width="13.08203125" style="230" customWidth="1"/>
    <col min="3590" max="3590" width="12.08203125" style="230" customWidth="1"/>
    <col min="3591" max="3591" width="11.33203125" style="230" customWidth="1"/>
    <col min="3592" max="3595" width="12.9140625" style="230" customWidth="1"/>
    <col min="3596" max="3596" width="13.08203125" style="230" customWidth="1"/>
    <col min="3597" max="3597" width="12.9140625" style="230" customWidth="1"/>
    <col min="3598" max="3598" width="13.08203125" style="230" customWidth="1"/>
    <col min="3599" max="3606" width="9.6640625" style="230"/>
    <col min="3607" max="3607" width="12.6640625" style="230" customWidth="1"/>
    <col min="3608" max="3840" width="9.6640625" style="230"/>
    <col min="3841" max="3841" width="32.9140625" style="230" customWidth="1"/>
    <col min="3842" max="3842" width="6.9140625" style="230" customWidth="1"/>
    <col min="3843" max="3843" width="11.08203125" style="230" customWidth="1"/>
    <col min="3844" max="3844" width="12.33203125" style="230" customWidth="1"/>
    <col min="3845" max="3845" width="13.08203125" style="230" customWidth="1"/>
    <col min="3846" max="3846" width="12.08203125" style="230" customWidth="1"/>
    <col min="3847" max="3847" width="11.33203125" style="230" customWidth="1"/>
    <col min="3848" max="3851" width="12.9140625" style="230" customWidth="1"/>
    <col min="3852" max="3852" width="13.08203125" style="230" customWidth="1"/>
    <col min="3853" max="3853" width="12.9140625" style="230" customWidth="1"/>
    <col min="3854" max="3854" width="13.08203125" style="230" customWidth="1"/>
    <col min="3855" max="3862" width="9.6640625" style="230"/>
    <col min="3863" max="3863" width="12.6640625" style="230" customWidth="1"/>
    <col min="3864" max="4096" width="9.6640625" style="230"/>
    <col min="4097" max="4097" width="32.9140625" style="230" customWidth="1"/>
    <col min="4098" max="4098" width="6.9140625" style="230" customWidth="1"/>
    <col min="4099" max="4099" width="11.08203125" style="230" customWidth="1"/>
    <col min="4100" max="4100" width="12.33203125" style="230" customWidth="1"/>
    <col min="4101" max="4101" width="13.08203125" style="230" customWidth="1"/>
    <col min="4102" max="4102" width="12.08203125" style="230" customWidth="1"/>
    <col min="4103" max="4103" width="11.33203125" style="230" customWidth="1"/>
    <col min="4104" max="4107" width="12.9140625" style="230" customWidth="1"/>
    <col min="4108" max="4108" width="13.08203125" style="230" customWidth="1"/>
    <col min="4109" max="4109" width="12.9140625" style="230" customWidth="1"/>
    <col min="4110" max="4110" width="13.08203125" style="230" customWidth="1"/>
    <col min="4111" max="4118" width="9.6640625" style="230"/>
    <col min="4119" max="4119" width="12.6640625" style="230" customWidth="1"/>
    <col min="4120" max="4352" width="9.6640625" style="230"/>
    <col min="4353" max="4353" width="32.9140625" style="230" customWidth="1"/>
    <col min="4354" max="4354" width="6.9140625" style="230" customWidth="1"/>
    <col min="4355" max="4355" width="11.08203125" style="230" customWidth="1"/>
    <col min="4356" max="4356" width="12.33203125" style="230" customWidth="1"/>
    <col min="4357" max="4357" width="13.08203125" style="230" customWidth="1"/>
    <col min="4358" max="4358" width="12.08203125" style="230" customWidth="1"/>
    <col min="4359" max="4359" width="11.33203125" style="230" customWidth="1"/>
    <col min="4360" max="4363" width="12.9140625" style="230" customWidth="1"/>
    <col min="4364" max="4364" width="13.08203125" style="230" customWidth="1"/>
    <col min="4365" max="4365" width="12.9140625" style="230" customWidth="1"/>
    <col min="4366" max="4366" width="13.08203125" style="230" customWidth="1"/>
    <col min="4367" max="4374" width="9.6640625" style="230"/>
    <col min="4375" max="4375" width="12.6640625" style="230" customWidth="1"/>
    <col min="4376" max="4608" width="9.6640625" style="230"/>
    <col min="4609" max="4609" width="32.9140625" style="230" customWidth="1"/>
    <col min="4610" max="4610" width="6.9140625" style="230" customWidth="1"/>
    <col min="4611" max="4611" width="11.08203125" style="230" customWidth="1"/>
    <col min="4612" max="4612" width="12.33203125" style="230" customWidth="1"/>
    <col min="4613" max="4613" width="13.08203125" style="230" customWidth="1"/>
    <col min="4614" max="4614" width="12.08203125" style="230" customWidth="1"/>
    <col min="4615" max="4615" width="11.33203125" style="230" customWidth="1"/>
    <col min="4616" max="4619" width="12.9140625" style="230" customWidth="1"/>
    <col min="4620" max="4620" width="13.08203125" style="230" customWidth="1"/>
    <col min="4621" max="4621" width="12.9140625" style="230" customWidth="1"/>
    <col min="4622" max="4622" width="13.08203125" style="230" customWidth="1"/>
    <col min="4623" max="4630" width="9.6640625" style="230"/>
    <col min="4631" max="4631" width="12.6640625" style="230" customWidth="1"/>
    <col min="4632" max="4864" width="9.6640625" style="230"/>
    <col min="4865" max="4865" width="32.9140625" style="230" customWidth="1"/>
    <col min="4866" max="4866" width="6.9140625" style="230" customWidth="1"/>
    <col min="4867" max="4867" width="11.08203125" style="230" customWidth="1"/>
    <col min="4868" max="4868" width="12.33203125" style="230" customWidth="1"/>
    <col min="4869" max="4869" width="13.08203125" style="230" customWidth="1"/>
    <col min="4870" max="4870" width="12.08203125" style="230" customWidth="1"/>
    <col min="4871" max="4871" width="11.33203125" style="230" customWidth="1"/>
    <col min="4872" max="4875" width="12.9140625" style="230" customWidth="1"/>
    <col min="4876" max="4876" width="13.08203125" style="230" customWidth="1"/>
    <col min="4877" max="4877" width="12.9140625" style="230" customWidth="1"/>
    <col min="4878" max="4878" width="13.08203125" style="230" customWidth="1"/>
    <col min="4879" max="4886" width="9.6640625" style="230"/>
    <col min="4887" max="4887" width="12.6640625" style="230" customWidth="1"/>
    <col min="4888" max="5120" width="9.6640625" style="230"/>
    <col min="5121" max="5121" width="32.9140625" style="230" customWidth="1"/>
    <col min="5122" max="5122" width="6.9140625" style="230" customWidth="1"/>
    <col min="5123" max="5123" width="11.08203125" style="230" customWidth="1"/>
    <col min="5124" max="5124" width="12.33203125" style="230" customWidth="1"/>
    <col min="5125" max="5125" width="13.08203125" style="230" customWidth="1"/>
    <col min="5126" max="5126" width="12.08203125" style="230" customWidth="1"/>
    <col min="5127" max="5127" width="11.33203125" style="230" customWidth="1"/>
    <col min="5128" max="5131" width="12.9140625" style="230" customWidth="1"/>
    <col min="5132" max="5132" width="13.08203125" style="230" customWidth="1"/>
    <col min="5133" max="5133" width="12.9140625" style="230" customWidth="1"/>
    <col min="5134" max="5134" width="13.08203125" style="230" customWidth="1"/>
    <col min="5135" max="5142" width="9.6640625" style="230"/>
    <col min="5143" max="5143" width="12.6640625" style="230" customWidth="1"/>
    <col min="5144" max="5376" width="9.6640625" style="230"/>
    <col min="5377" max="5377" width="32.9140625" style="230" customWidth="1"/>
    <col min="5378" max="5378" width="6.9140625" style="230" customWidth="1"/>
    <col min="5379" max="5379" width="11.08203125" style="230" customWidth="1"/>
    <col min="5380" max="5380" width="12.33203125" style="230" customWidth="1"/>
    <col min="5381" max="5381" width="13.08203125" style="230" customWidth="1"/>
    <col min="5382" max="5382" width="12.08203125" style="230" customWidth="1"/>
    <col min="5383" max="5383" width="11.33203125" style="230" customWidth="1"/>
    <col min="5384" max="5387" width="12.9140625" style="230" customWidth="1"/>
    <col min="5388" max="5388" width="13.08203125" style="230" customWidth="1"/>
    <col min="5389" max="5389" width="12.9140625" style="230" customWidth="1"/>
    <col min="5390" max="5390" width="13.08203125" style="230" customWidth="1"/>
    <col min="5391" max="5398" width="9.6640625" style="230"/>
    <col min="5399" max="5399" width="12.6640625" style="230" customWidth="1"/>
    <col min="5400" max="5632" width="9.6640625" style="230"/>
    <col min="5633" max="5633" width="32.9140625" style="230" customWidth="1"/>
    <col min="5634" max="5634" width="6.9140625" style="230" customWidth="1"/>
    <col min="5635" max="5635" width="11.08203125" style="230" customWidth="1"/>
    <col min="5636" max="5636" width="12.33203125" style="230" customWidth="1"/>
    <col min="5637" max="5637" width="13.08203125" style="230" customWidth="1"/>
    <col min="5638" max="5638" width="12.08203125" style="230" customWidth="1"/>
    <col min="5639" max="5639" width="11.33203125" style="230" customWidth="1"/>
    <col min="5640" max="5643" width="12.9140625" style="230" customWidth="1"/>
    <col min="5644" max="5644" width="13.08203125" style="230" customWidth="1"/>
    <col min="5645" max="5645" width="12.9140625" style="230" customWidth="1"/>
    <col min="5646" max="5646" width="13.08203125" style="230" customWidth="1"/>
    <col min="5647" max="5654" width="9.6640625" style="230"/>
    <col min="5655" max="5655" width="12.6640625" style="230" customWidth="1"/>
    <col min="5656" max="5888" width="9.6640625" style="230"/>
    <col min="5889" max="5889" width="32.9140625" style="230" customWidth="1"/>
    <col min="5890" max="5890" width="6.9140625" style="230" customWidth="1"/>
    <col min="5891" max="5891" width="11.08203125" style="230" customWidth="1"/>
    <col min="5892" max="5892" width="12.33203125" style="230" customWidth="1"/>
    <col min="5893" max="5893" width="13.08203125" style="230" customWidth="1"/>
    <col min="5894" max="5894" width="12.08203125" style="230" customWidth="1"/>
    <col min="5895" max="5895" width="11.33203125" style="230" customWidth="1"/>
    <col min="5896" max="5899" width="12.9140625" style="230" customWidth="1"/>
    <col min="5900" max="5900" width="13.08203125" style="230" customWidth="1"/>
    <col min="5901" max="5901" width="12.9140625" style="230" customWidth="1"/>
    <col min="5902" max="5902" width="13.08203125" style="230" customWidth="1"/>
    <col min="5903" max="5910" width="9.6640625" style="230"/>
    <col min="5911" max="5911" width="12.6640625" style="230" customWidth="1"/>
    <col min="5912" max="6144" width="9.6640625" style="230"/>
    <col min="6145" max="6145" width="32.9140625" style="230" customWidth="1"/>
    <col min="6146" max="6146" width="6.9140625" style="230" customWidth="1"/>
    <col min="6147" max="6147" width="11.08203125" style="230" customWidth="1"/>
    <col min="6148" max="6148" width="12.33203125" style="230" customWidth="1"/>
    <col min="6149" max="6149" width="13.08203125" style="230" customWidth="1"/>
    <col min="6150" max="6150" width="12.08203125" style="230" customWidth="1"/>
    <col min="6151" max="6151" width="11.33203125" style="230" customWidth="1"/>
    <col min="6152" max="6155" width="12.9140625" style="230" customWidth="1"/>
    <col min="6156" max="6156" width="13.08203125" style="230" customWidth="1"/>
    <col min="6157" max="6157" width="12.9140625" style="230" customWidth="1"/>
    <col min="6158" max="6158" width="13.08203125" style="230" customWidth="1"/>
    <col min="6159" max="6166" width="9.6640625" style="230"/>
    <col min="6167" max="6167" width="12.6640625" style="230" customWidth="1"/>
    <col min="6168" max="6400" width="9.6640625" style="230"/>
    <col min="6401" max="6401" width="32.9140625" style="230" customWidth="1"/>
    <col min="6402" max="6402" width="6.9140625" style="230" customWidth="1"/>
    <col min="6403" max="6403" width="11.08203125" style="230" customWidth="1"/>
    <col min="6404" max="6404" width="12.33203125" style="230" customWidth="1"/>
    <col min="6405" max="6405" width="13.08203125" style="230" customWidth="1"/>
    <col min="6406" max="6406" width="12.08203125" style="230" customWidth="1"/>
    <col min="6407" max="6407" width="11.33203125" style="230" customWidth="1"/>
    <col min="6408" max="6411" width="12.9140625" style="230" customWidth="1"/>
    <col min="6412" max="6412" width="13.08203125" style="230" customWidth="1"/>
    <col min="6413" max="6413" width="12.9140625" style="230" customWidth="1"/>
    <col min="6414" max="6414" width="13.08203125" style="230" customWidth="1"/>
    <col min="6415" max="6422" width="9.6640625" style="230"/>
    <col min="6423" max="6423" width="12.6640625" style="230" customWidth="1"/>
    <col min="6424" max="6656" width="9.6640625" style="230"/>
    <col min="6657" max="6657" width="32.9140625" style="230" customWidth="1"/>
    <col min="6658" max="6658" width="6.9140625" style="230" customWidth="1"/>
    <col min="6659" max="6659" width="11.08203125" style="230" customWidth="1"/>
    <col min="6660" max="6660" width="12.33203125" style="230" customWidth="1"/>
    <col min="6661" max="6661" width="13.08203125" style="230" customWidth="1"/>
    <col min="6662" max="6662" width="12.08203125" style="230" customWidth="1"/>
    <col min="6663" max="6663" width="11.33203125" style="230" customWidth="1"/>
    <col min="6664" max="6667" width="12.9140625" style="230" customWidth="1"/>
    <col min="6668" max="6668" width="13.08203125" style="230" customWidth="1"/>
    <col min="6669" max="6669" width="12.9140625" style="230" customWidth="1"/>
    <col min="6670" max="6670" width="13.08203125" style="230" customWidth="1"/>
    <col min="6671" max="6678" width="9.6640625" style="230"/>
    <col min="6679" max="6679" width="12.6640625" style="230" customWidth="1"/>
    <col min="6680" max="6912" width="9.6640625" style="230"/>
    <col min="6913" max="6913" width="32.9140625" style="230" customWidth="1"/>
    <col min="6914" max="6914" width="6.9140625" style="230" customWidth="1"/>
    <col min="6915" max="6915" width="11.08203125" style="230" customWidth="1"/>
    <col min="6916" max="6916" width="12.33203125" style="230" customWidth="1"/>
    <col min="6917" max="6917" width="13.08203125" style="230" customWidth="1"/>
    <col min="6918" max="6918" width="12.08203125" style="230" customWidth="1"/>
    <col min="6919" max="6919" width="11.33203125" style="230" customWidth="1"/>
    <col min="6920" max="6923" width="12.9140625" style="230" customWidth="1"/>
    <col min="6924" max="6924" width="13.08203125" style="230" customWidth="1"/>
    <col min="6925" max="6925" width="12.9140625" style="230" customWidth="1"/>
    <col min="6926" max="6926" width="13.08203125" style="230" customWidth="1"/>
    <col min="6927" max="6934" width="9.6640625" style="230"/>
    <col min="6935" max="6935" width="12.6640625" style="230" customWidth="1"/>
    <col min="6936" max="7168" width="9.6640625" style="230"/>
    <col min="7169" max="7169" width="32.9140625" style="230" customWidth="1"/>
    <col min="7170" max="7170" width="6.9140625" style="230" customWidth="1"/>
    <col min="7171" max="7171" width="11.08203125" style="230" customWidth="1"/>
    <col min="7172" max="7172" width="12.33203125" style="230" customWidth="1"/>
    <col min="7173" max="7173" width="13.08203125" style="230" customWidth="1"/>
    <col min="7174" max="7174" width="12.08203125" style="230" customWidth="1"/>
    <col min="7175" max="7175" width="11.33203125" style="230" customWidth="1"/>
    <col min="7176" max="7179" width="12.9140625" style="230" customWidth="1"/>
    <col min="7180" max="7180" width="13.08203125" style="230" customWidth="1"/>
    <col min="7181" max="7181" width="12.9140625" style="230" customWidth="1"/>
    <col min="7182" max="7182" width="13.08203125" style="230" customWidth="1"/>
    <col min="7183" max="7190" width="9.6640625" style="230"/>
    <col min="7191" max="7191" width="12.6640625" style="230" customWidth="1"/>
    <col min="7192" max="7424" width="9.6640625" style="230"/>
    <col min="7425" max="7425" width="32.9140625" style="230" customWidth="1"/>
    <col min="7426" max="7426" width="6.9140625" style="230" customWidth="1"/>
    <col min="7427" max="7427" width="11.08203125" style="230" customWidth="1"/>
    <col min="7428" max="7428" width="12.33203125" style="230" customWidth="1"/>
    <col min="7429" max="7429" width="13.08203125" style="230" customWidth="1"/>
    <col min="7430" max="7430" width="12.08203125" style="230" customWidth="1"/>
    <col min="7431" max="7431" width="11.33203125" style="230" customWidth="1"/>
    <col min="7432" max="7435" width="12.9140625" style="230" customWidth="1"/>
    <col min="7436" max="7436" width="13.08203125" style="230" customWidth="1"/>
    <col min="7437" max="7437" width="12.9140625" style="230" customWidth="1"/>
    <col min="7438" max="7438" width="13.08203125" style="230" customWidth="1"/>
    <col min="7439" max="7446" width="9.6640625" style="230"/>
    <col min="7447" max="7447" width="12.6640625" style="230" customWidth="1"/>
    <col min="7448" max="7680" width="9.6640625" style="230"/>
    <col min="7681" max="7681" width="32.9140625" style="230" customWidth="1"/>
    <col min="7682" max="7682" width="6.9140625" style="230" customWidth="1"/>
    <col min="7683" max="7683" width="11.08203125" style="230" customWidth="1"/>
    <col min="7684" max="7684" width="12.33203125" style="230" customWidth="1"/>
    <col min="7685" max="7685" width="13.08203125" style="230" customWidth="1"/>
    <col min="7686" max="7686" width="12.08203125" style="230" customWidth="1"/>
    <col min="7687" max="7687" width="11.33203125" style="230" customWidth="1"/>
    <col min="7688" max="7691" width="12.9140625" style="230" customWidth="1"/>
    <col min="7692" max="7692" width="13.08203125" style="230" customWidth="1"/>
    <col min="7693" max="7693" width="12.9140625" style="230" customWidth="1"/>
    <col min="7694" max="7694" width="13.08203125" style="230" customWidth="1"/>
    <col min="7695" max="7702" width="9.6640625" style="230"/>
    <col min="7703" max="7703" width="12.6640625" style="230" customWidth="1"/>
    <col min="7704" max="7936" width="9.6640625" style="230"/>
    <col min="7937" max="7937" width="32.9140625" style="230" customWidth="1"/>
    <col min="7938" max="7938" width="6.9140625" style="230" customWidth="1"/>
    <col min="7939" max="7939" width="11.08203125" style="230" customWidth="1"/>
    <col min="7940" max="7940" width="12.33203125" style="230" customWidth="1"/>
    <col min="7941" max="7941" width="13.08203125" style="230" customWidth="1"/>
    <col min="7942" max="7942" width="12.08203125" style="230" customWidth="1"/>
    <col min="7943" max="7943" width="11.33203125" style="230" customWidth="1"/>
    <col min="7944" max="7947" width="12.9140625" style="230" customWidth="1"/>
    <col min="7948" max="7948" width="13.08203125" style="230" customWidth="1"/>
    <col min="7949" max="7949" width="12.9140625" style="230" customWidth="1"/>
    <col min="7950" max="7950" width="13.08203125" style="230" customWidth="1"/>
    <col min="7951" max="7958" width="9.6640625" style="230"/>
    <col min="7959" max="7959" width="12.6640625" style="230" customWidth="1"/>
    <col min="7960" max="8192" width="9.6640625" style="230"/>
    <col min="8193" max="8193" width="32.9140625" style="230" customWidth="1"/>
    <col min="8194" max="8194" width="6.9140625" style="230" customWidth="1"/>
    <col min="8195" max="8195" width="11.08203125" style="230" customWidth="1"/>
    <col min="8196" max="8196" width="12.33203125" style="230" customWidth="1"/>
    <col min="8197" max="8197" width="13.08203125" style="230" customWidth="1"/>
    <col min="8198" max="8198" width="12.08203125" style="230" customWidth="1"/>
    <col min="8199" max="8199" width="11.33203125" style="230" customWidth="1"/>
    <col min="8200" max="8203" width="12.9140625" style="230" customWidth="1"/>
    <col min="8204" max="8204" width="13.08203125" style="230" customWidth="1"/>
    <col min="8205" max="8205" width="12.9140625" style="230" customWidth="1"/>
    <col min="8206" max="8206" width="13.08203125" style="230" customWidth="1"/>
    <col min="8207" max="8214" width="9.6640625" style="230"/>
    <col min="8215" max="8215" width="12.6640625" style="230" customWidth="1"/>
    <col min="8216" max="8448" width="9.6640625" style="230"/>
    <col min="8449" max="8449" width="32.9140625" style="230" customWidth="1"/>
    <col min="8450" max="8450" width="6.9140625" style="230" customWidth="1"/>
    <col min="8451" max="8451" width="11.08203125" style="230" customWidth="1"/>
    <col min="8452" max="8452" width="12.33203125" style="230" customWidth="1"/>
    <col min="8453" max="8453" width="13.08203125" style="230" customWidth="1"/>
    <col min="8454" max="8454" width="12.08203125" style="230" customWidth="1"/>
    <col min="8455" max="8455" width="11.33203125" style="230" customWidth="1"/>
    <col min="8456" max="8459" width="12.9140625" style="230" customWidth="1"/>
    <col min="8460" max="8460" width="13.08203125" style="230" customWidth="1"/>
    <col min="8461" max="8461" width="12.9140625" style="230" customWidth="1"/>
    <col min="8462" max="8462" width="13.08203125" style="230" customWidth="1"/>
    <col min="8463" max="8470" width="9.6640625" style="230"/>
    <col min="8471" max="8471" width="12.6640625" style="230" customWidth="1"/>
    <col min="8472" max="8704" width="9.6640625" style="230"/>
    <col min="8705" max="8705" width="32.9140625" style="230" customWidth="1"/>
    <col min="8706" max="8706" width="6.9140625" style="230" customWidth="1"/>
    <col min="8707" max="8707" width="11.08203125" style="230" customWidth="1"/>
    <col min="8708" max="8708" width="12.33203125" style="230" customWidth="1"/>
    <col min="8709" max="8709" width="13.08203125" style="230" customWidth="1"/>
    <col min="8710" max="8710" width="12.08203125" style="230" customWidth="1"/>
    <col min="8711" max="8711" width="11.33203125" style="230" customWidth="1"/>
    <col min="8712" max="8715" width="12.9140625" style="230" customWidth="1"/>
    <col min="8716" max="8716" width="13.08203125" style="230" customWidth="1"/>
    <col min="8717" max="8717" width="12.9140625" style="230" customWidth="1"/>
    <col min="8718" max="8718" width="13.08203125" style="230" customWidth="1"/>
    <col min="8719" max="8726" width="9.6640625" style="230"/>
    <col min="8727" max="8727" width="12.6640625" style="230" customWidth="1"/>
    <col min="8728" max="8960" width="9.6640625" style="230"/>
    <col min="8961" max="8961" width="32.9140625" style="230" customWidth="1"/>
    <col min="8962" max="8962" width="6.9140625" style="230" customWidth="1"/>
    <col min="8963" max="8963" width="11.08203125" style="230" customWidth="1"/>
    <col min="8964" max="8964" width="12.33203125" style="230" customWidth="1"/>
    <col min="8965" max="8965" width="13.08203125" style="230" customWidth="1"/>
    <col min="8966" max="8966" width="12.08203125" style="230" customWidth="1"/>
    <col min="8967" max="8967" width="11.33203125" style="230" customWidth="1"/>
    <col min="8968" max="8971" width="12.9140625" style="230" customWidth="1"/>
    <col min="8972" max="8972" width="13.08203125" style="230" customWidth="1"/>
    <col min="8973" max="8973" width="12.9140625" style="230" customWidth="1"/>
    <col min="8974" max="8974" width="13.08203125" style="230" customWidth="1"/>
    <col min="8975" max="8982" width="9.6640625" style="230"/>
    <col min="8983" max="8983" width="12.6640625" style="230" customWidth="1"/>
    <col min="8984" max="9216" width="9.6640625" style="230"/>
    <col min="9217" max="9217" width="32.9140625" style="230" customWidth="1"/>
    <col min="9218" max="9218" width="6.9140625" style="230" customWidth="1"/>
    <col min="9219" max="9219" width="11.08203125" style="230" customWidth="1"/>
    <col min="9220" max="9220" width="12.33203125" style="230" customWidth="1"/>
    <col min="9221" max="9221" width="13.08203125" style="230" customWidth="1"/>
    <col min="9222" max="9222" width="12.08203125" style="230" customWidth="1"/>
    <col min="9223" max="9223" width="11.33203125" style="230" customWidth="1"/>
    <col min="9224" max="9227" width="12.9140625" style="230" customWidth="1"/>
    <col min="9228" max="9228" width="13.08203125" style="230" customWidth="1"/>
    <col min="9229" max="9229" width="12.9140625" style="230" customWidth="1"/>
    <col min="9230" max="9230" width="13.08203125" style="230" customWidth="1"/>
    <col min="9231" max="9238" width="9.6640625" style="230"/>
    <col min="9239" max="9239" width="12.6640625" style="230" customWidth="1"/>
    <col min="9240" max="9472" width="9.6640625" style="230"/>
    <col min="9473" max="9473" width="32.9140625" style="230" customWidth="1"/>
    <col min="9474" max="9474" width="6.9140625" style="230" customWidth="1"/>
    <col min="9475" max="9475" width="11.08203125" style="230" customWidth="1"/>
    <col min="9476" max="9476" width="12.33203125" style="230" customWidth="1"/>
    <col min="9477" max="9477" width="13.08203125" style="230" customWidth="1"/>
    <col min="9478" max="9478" width="12.08203125" style="230" customWidth="1"/>
    <col min="9479" max="9479" width="11.33203125" style="230" customWidth="1"/>
    <col min="9480" max="9483" width="12.9140625" style="230" customWidth="1"/>
    <col min="9484" max="9484" width="13.08203125" style="230" customWidth="1"/>
    <col min="9485" max="9485" width="12.9140625" style="230" customWidth="1"/>
    <col min="9486" max="9486" width="13.08203125" style="230" customWidth="1"/>
    <col min="9487" max="9494" width="9.6640625" style="230"/>
    <col min="9495" max="9495" width="12.6640625" style="230" customWidth="1"/>
    <col min="9496" max="9728" width="9.6640625" style="230"/>
    <col min="9729" max="9729" width="32.9140625" style="230" customWidth="1"/>
    <col min="9730" max="9730" width="6.9140625" style="230" customWidth="1"/>
    <col min="9731" max="9731" width="11.08203125" style="230" customWidth="1"/>
    <col min="9732" max="9732" width="12.33203125" style="230" customWidth="1"/>
    <col min="9733" max="9733" width="13.08203125" style="230" customWidth="1"/>
    <col min="9734" max="9734" width="12.08203125" style="230" customWidth="1"/>
    <col min="9735" max="9735" width="11.33203125" style="230" customWidth="1"/>
    <col min="9736" max="9739" width="12.9140625" style="230" customWidth="1"/>
    <col min="9740" max="9740" width="13.08203125" style="230" customWidth="1"/>
    <col min="9741" max="9741" width="12.9140625" style="230" customWidth="1"/>
    <col min="9742" max="9742" width="13.08203125" style="230" customWidth="1"/>
    <col min="9743" max="9750" width="9.6640625" style="230"/>
    <col min="9751" max="9751" width="12.6640625" style="230" customWidth="1"/>
    <col min="9752" max="9984" width="9.6640625" style="230"/>
    <col min="9985" max="9985" width="32.9140625" style="230" customWidth="1"/>
    <col min="9986" max="9986" width="6.9140625" style="230" customWidth="1"/>
    <col min="9987" max="9987" width="11.08203125" style="230" customWidth="1"/>
    <col min="9988" max="9988" width="12.33203125" style="230" customWidth="1"/>
    <col min="9989" max="9989" width="13.08203125" style="230" customWidth="1"/>
    <col min="9990" max="9990" width="12.08203125" style="230" customWidth="1"/>
    <col min="9991" max="9991" width="11.33203125" style="230" customWidth="1"/>
    <col min="9992" max="9995" width="12.9140625" style="230" customWidth="1"/>
    <col min="9996" max="9996" width="13.08203125" style="230" customWidth="1"/>
    <col min="9997" max="9997" width="12.9140625" style="230" customWidth="1"/>
    <col min="9998" max="9998" width="13.08203125" style="230" customWidth="1"/>
    <col min="9999" max="10006" width="9.6640625" style="230"/>
    <col min="10007" max="10007" width="12.6640625" style="230" customWidth="1"/>
    <col min="10008" max="10240" width="9.6640625" style="230"/>
    <col min="10241" max="10241" width="32.9140625" style="230" customWidth="1"/>
    <col min="10242" max="10242" width="6.9140625" style="230" customWidth="1"/>
    <col min="10243" max="10243" width="11.08203125" style="230" customWidth="1"/>
    <col min="10244" max="10244" width="12.33203125" style="230" customWidth="1"/>
    <col min="10245" max="10245" width="13.08203125" style="230" customWidth="1"/>
    <col min="10246" max="10246" width="12.08203125" style="230" customWidth="1"/>
    <col min="10247" max="10247" width="11.33203125" style="230" customWidth="1"/>
    <col min="10248" max="10251" width="12.9140625" style="230" customWidth="1"/>
    <col min="10252" max="10252" width="13.08203125" style="230" customWidth="1"/>
    <col min="10253" max="10253" width="12.9140625" style="230" customWidth="1"/>
    <col min="10254" max="10254" width="13.08203125" style="230" customWidth="1"/>
    <col min="10255" max="10262" width="9.6640625" style="230"/>
    <col min="10263" max="10263" width="12.6640625" style="230" customWidth="1"/>
    <col min="10264" max="10496" width="9.6640625" style="230"/>
    <col min="10497" max="10497" width="32.9140625" style="230" customWidth="1"/>
    <col min="10498" max="10498" width="6.9140625" style="230" customWidth="1"/>
    <col min="10499" max="10499" width="11.08203125" style="230" customWidth="1"/>
    <col min="10500" max="10500" width="12.33203125" style="230" customWidth="1"/>
    <col min="10501" max="10501" width="13.08203125" style="230" customWidth="1"/>
    <col min="10502" max="10502" width="12.08203125" style="230" customWidth="1"/>
    <col min="10503" max="10503" width="11.33203125" style="230" customWidth="1"/>
    <col min="10504" max="10507" width="12.9140625" style="230" customWidth="1"/>
    <col min="10508" max="10508" width="13.08203125" style="230" customWidth="1"/>
    <col min="10509" max="10509" width="12.9140625" style="230" customWidth="1"/>
    <col min="10510" max="10510" width="13.08203125" style="230" customWidth="1"/>
    <col min="10511" max="10518" width="9.6640625" style="230"/>
    <col min="10519" max="10519" width="12.6640625" style="230" customWidth="1"/>
    <col min="10520" max="10752" width="9.6640625" style="230"/>
    <col min="10753" max="10753" width="32.9140625" style="230" customWidth="1"/>
    <col min="10754" max="10754" width="6.9140625" style="230" customWidth="1"/>
    <col min="10755" max="10755" width="11.08203125" style="230" customWidth="1"/>
    <col min="10756" max="10756" width="12.33203125" style="230" customWidth="1"/>
    <col min="10757" max="10757" width="13.08203125" style="230" customWidth="1"/>
    <col min="10758" max="10758" width="12.08203125" style="230" customWidth="1"/>
    <col min="10759" max="10759" width="11.33203125" style="230" customWidth="1"/>
    <col min="10760" max="10763" width="12.9140625" style="230" customWidth="1"/>
    <col min="10764" max="10764" width="13.08203125" style="230" customWidth="1"/>
    <col min="10765" max="10765" width="12.9140625" style="230" customWidth="1"/>
    <col min="10766" max="10766" width="13.08203125" style="230" customWidth="1"/>
    <col min="10767" max="10774" width="9.6640625" style="230"/>
    <col min="10775" max="10775" width="12.6640625" style="230" customWidth="1"/>
    <col min="10776" max="11008" width="9.6640625" style="230"/>
    <col min="11009" max="11009" width="32.9140625" style="230" customWidth="1"/>
    <col min="11010" max="11010" width="6.9140625" style="230" customWidth="1"/>
    <col min="11011" max="11011" width="11.08203125" style="230" customWidth="1"/>
    <col min="11012" max="11012" width="12.33203125" style="230" customWidth="1"/>
    <col min="11013" max="11013" width="13.08203125" style="230" customWidth="1"/>
    <col min="11014" max="11014" width="12.08203125" style="230" customWidth="1"/>
    <col min="11015" max="11015" width="11.33203125" style="230" customWidth="1"/>
    <col min="11016" max="11019" width="12.9140625" style="230" customWidth="1"/>
    <col min="11020" max="11020" width="13.08203125" style="230" customWidth="1"/>
    <col min="11021" max="11021" width="12.9140625" style="230" customWidth="1"/>
    <col min="11022" max="11022" width="13.08203125" style="230" customWidth="1"/>
    <col min="11023" max="11030" width="9.6640625" style="230"/>
    <col min="11031" max="11031" width="12.6640625" style="230" customWidth="1"/>
    <col min="11032" max="11264" width="9.6640625" style="230"/>
    <col min="11265" max="11265" width="32.9140625" style="230" customWidth="1"/>
    <col min="11266" max="11266" width="6.9140625" style="230" customWidth="1"/>
    <col min="11267" max="11267" width="11.08203125" style="230" customWidth="1"/>
    <col min="11268" max="11268" width="12.33203125" style="230" customWidth="1"/>
    <col min="11269" max="11269" width="13.08203125" style="230" customWidth="1"/>
    <col min="11270" max="11270" width="12.08203125" style="230" customWidth="1"/>
    <col min="11271" max="11271" width="11.33203125" style="230" customWidth="1"/>
    <col min="11272" max="11275" width="12.9140625" style="230" customWidth="1"/>
    <col min="11276" max="11276" width="13.08203125" style="230" customWidth="1"/>
    <col min="11277" max="11277" width="12.9140625" style="230" customWidth="1"/>
    <col min="11278" max="11278" width="13.08203125" style="230" customWidth="1"/>
    <col min="11279" max="11286" width="9.6640625" style="230"/>
    <col min="11287" max="11287" width="12.6640625" style="230" customWidth="1"/>
    <col min="11288" max="11520" width="9.6640625" style="230"/>
    <col min="11521" max="11521" width="32.9140625" style="230" customWidth="1"/>
    <col min="11522" max="11522" width="6.9140625" style="230" customWidth="1"/>
    <col min="11523" max="11523" width="11.08203125" style="230" customWidth="1"/>
    <col min="11524" max="11524" width="12.33203125" style="230" customWidth="1"/>
    <col min="11525" max="11525" width="13.08203125" style="230" customWidth="1"/>
    <col min="11526" max="11526" width="12.08203125" style="230" customWidth="1"/>
    <col min="11527" max="11527" width="11.33203125" style="230" customWidth="1"/>
    <col min="11528" max="11531" width="12.9140625" style="230" customWidth="1"/>
    <col min="11532" max="11532" width="13.08203125" style="230" customWidth="1"/>
    <col min="11533" max="11533" width="12.9140625" style="230" customWidth="1"/>
    <col min="11534" max="11534" width="13.08203125" style="230" customWidth="1"/>
    <col min="11535" max="11542" width="9.6640625" style="230"/>
    <col min="11543" max="11543" width="12.6640625" style="230" customWidth="1"/>
    <col min="11544" max="11776" width="9.6640625" style="230"/>
    <col min="11777" max="11777" width="32.9140625" style="230" customWidth="1"/>
    <col min="11778" max="11778" width="6.9140625" style="230" customWidth="1"/>
    <col min="11779" max="11779" width="11.08203125" style="230" customWidth="1"/>
    <col min="11780" max="11780" width="12.33203125" style="230" customWidth="1"/>
    <col min="11781" max="11781" width="13.08203125" style="230" customWidth="1"/>
    <col min="11782" max="11782" width="12.08203125" style="230" customWidth="1"/>
    <col min="11783" max="11783" width="11.33203125" style="230" customWidth="1"/>
    <col min="11784" max="11787" width="12.9140625" style="230" customWidth="1"/>
    <col min="11788" max="11788" width="13.08203125" style="230" customWidth="1"/>
    <col min="11789" max="11789" width="12.9140625" style="230" customWidth="1"/>
    <col min="11790" max="11790" width="13.08203125" style="230" customWidth="1"/>
    <col min="11791" max="11798" width="9.6640625" style="230"/>
    <col min="11799" max="11799" width="12.6640625" style="230" customWidth="1"/>
    <col min="11800" max="12032" width="9.6640625" style="230"/>
    <col min="12033" max="12033" width="32.9140625" style="230" customWidth="1"/>
    <col min="12034" max="12034" width="6.9140625" style="230" customWidth="1"/>
    <col min="12035" max="12035" width="11.08203125" style="230" customWidth="1"/>
    <col min="12036" max="12036" width="12.33203125" style="230" customWidth="1"/>
    <col min="12037" max="12037" width="13.08203125" style="230" customWidth="1"/>
    <col min="12038" max="12038" width="12.08203125" style="230" customWidth="1"/>
    <col min="12039" max="12039" width="11.33203125" style="230" customWidth="1"/>
    <col min="12040" max="12043" width="12.9140625" style="230" customWidth="1"/>
    <col min="12044" max="12044" width="13.08203125" style="230" customWidth="1"/>
    <col min="12045" max="12045" width="12.9140625" style="230" customWidth="1"/>
    <col min="12046" max="12046" width="13.08203125" style="230" customWidth="1"/>
    <col min="12047" max="12054" width="9.6640625" style="230"/>
    <col min="12055" max="12055" width="12.6640625" style="230" customWidth="1"/>
    <col min="12056" max="12288" width="9.6640625" style="230"/>
    <col min="12289" max="12289" width="32.9140625" style="230" customWidth="1"/>
    <col min="12290" max="12290" width="6.9140625" style="230" customWidth="1"/>
    <col min="12291" max="12291" width="11.08203125" style="230" customWidth="1"/>
    <col min="12292" max="12292" width="12.33203125" style="230" customWidth="1"/>
    <col min="12293" max="12293" width="13.08203125" style="230" customWidth="1"/>
    <col min="12294" max="12294" width="12.08203125" style="230" customWidth="1"/>
    <col min="12295" max="12295" width="11.33203125" style="230" customWidth="1"/>
    <col min="12296" max="12299" width="12.9140625" style="230" customWidth="1"/>
    <col min="12300" max="12300" width="13.08203125" style="230" customWidth="1"/>
    <col min="12301" max="12301" width="12.9140625" style="230" customWidth="1"/>
    <col min="12302" max="12302" width="13.08203125" style="230" customWidth="1"/>
    <col min="12303" max="12310" width="9.6640625" style="230"/>
    <col min="12311" max="12311" width="12.6640625" style="230" customWidth="1"/>
    <col min="12312" max="12544" width="9.6640625" style="230"/>
    <col min="12545" max="12545" width="32.9140625" style="230" customWidth="1"/>
    <col min="12546" max="12546" width="6.9140625" style="230" customWidth="1"/>
    <col min="12547" max="12547" width="11.08203125" style="230" customWidth="1"/>
    <col min="12548" max="12548" width="12.33203125" style="230" customWidth="1"/>
    <col min="12549" max="12549" width="13.08203125" style="230" customWidth="1"/>
    <col min="12550" max="12550" width="12.08203125" style="230" customWidth="1"/>
    <col min="12551" max="12551" width="11.33203125" style="230" customWidth="1"/>
    <col min="12552" max="12555" width="12.9140625" style="230" customWidth="1"/>
    <col min="12556" max="12556" width="13.08203125" style="230" customWidth="1"/>
    <col min="12557" max="12557" width="12.9140625" style="230" customWidth="1"/>
    <col min="12558" max="12558" width="13.08203125" style="230" customWidth="1"/>
    <col min="12559" max="12566" width="9.6640625" style="230"/>
    <col min="12567" max="12567" width="12.6640625" style="230" customWidth="1"/>
    <col min="12568" max="12800" width="9.6640625" style="230"/>
    <col min="12801" max="12801" width="32.9140625" style="230" customWidth="1"/>
    <col min="12802" max="12802" width="6.9140625" style="230" customWidth="1"/>
    <col min="12803" max="12803" width="11.08203125" style="230" customWidth="1"/>
    <col min="12804" max="12804" width="12.33203125" style="230" customWidth="1"/>
    <col min="12805" max="12805" width="13.08203125" style="230" customWidth="1"/>
    <col min="12806" max="12806" width="12.08203125" style="230" customWidth="1"/>
    <col min="12807" max="12807" width="11.33203125" style="230" customWidth="1"/>
    <col min="12808" max="12811" width="12.9140625" style="230" customWidth="1"/>
    <col min="12812" max="12812" width="13.08203125" style="230" customWidth="1"/>
    <col min="12813" max="12813" width="12.9140625" style="230" customWidth="1"/>
    <col min="12814" max="12814" width="13.08203125" style="230" customWidth="1"/>
    <col min="12815" max="12822" width="9.6640625" style="230"/>
    <col min="12823" max="12823" width="12.6640625" style="230" customWidth="1"/>
    <col min="12824" max="13056" width="9.6640625" style="230"/>
    <col min="13057" max="13057" width="32.9140625" style="230" customWidth="1"/>
    <col min="13058" max="13058" width="6.9140625" style="230" customWidth="1"/>
    <col min="13059" max="13059" width="11.08203125" style="230" customWidth="1"/>
    <col min="13060" max="13060" width="12.33203125" style="230" customWidth="1"/>
    <col min="13061" max="13061" width="13.08203125" style="230" customWidth="1"/>
    <col min="13062" max="13062" width="12.08203125" style="230" customWidth="1"/>
    <col min="13063" max="13063" width="11.33203125" style="230" customWidth="1"/>
    <col min="13064" max="13067" width="12.9140625" style="230" customWidth="1"/>
    <col min="13068" max="13068" width="13.08203125" style="230" customWidth="1"/>
    <col min="13069" max="13069" width="12.9140625" style="230" customWidth="1"/>
    <col min="13070" max="13070" width="13.08203125" style="230" customWidth="1"/>
    <col min="13071" max="13078" width="9.6640625" style="230"/>
    <col min="13079" max="13079" width="12.6640625" style="230" customWidth="1"/>
    <col min="13080" max="13312" width="9.6640625" style="230"/>
    <col min="13313" max="13313" width="32.9140625" style="230" customWidth="1"/>
    <col min="13314" max="13314" width="6.9140625" style="230" customWidth="1"/>
    <col min="13315" max="13315" width="11.08203125" style="230" customWidth="1"/>
    <col min="13316" max="13316" width="12.33203125" style="230" customWidth="1"/>
    <col min="13317" max="13317" width="13.08203125" style="230" customWidth="1"/>
    <col min="13318" max="13318" width="12.08203125" style="230" customWidth="1"/>
    <col min="13319" max="13319" width="11.33203125" style="230" customWidth="1"/>
    <col min="13320" max="13323" width="12.9140625" style="230" customWidth="1"/>
    <col min="13324" max="13324" width="13.08203125" style="230" customWidth="1"/>
    <col min="13325" max="13325" width="12.9140625" style="230" customWidth="1"/>
    <col min="13326" max="13326" width="13.08203125" style="230" customWidth="1"/>
    <col min="13327" max="13334" width="9.6640625" style="230"/>
    <col min="13335" max="13335" width="12.6640625" style="230" customWidth="1"/>
    <col min="13336" max="13568" width="9.6640625" style="230"/>
    <col min="13569" max="13569" width="32.9140625" style="230" customWidth="1"/>
    <col min="13570" max="13570" width="6.9140625" style="230" customWidth="1"/>
    <col min="13571" max="13571" width="11.08203125" style="230" customWidth="1"/>
    <col min="13572" max="13572" width="12.33203125" style="230" customWidth="1"/>
    <col min="13573" max="13573" width="13.08203125" style="230" customWidth="1"/>
    <col min="13574" max="13574" width="12.08203125" style="230" customWidth="1"/>
    <col min="13575" max="13575" width="11.33203125" style="230" customWidth="1"/>
    <col min="13576" max="13579" width="12.9140625" style="230" customWidth="1"/>
    <col min="13580" max="13580" width="13.08203125" style="230" customWidth="1"/>
    <col min="13581" max="13581" width="12.9140625" style="230" customWidth="1"/>
    <col min="13582" max="13582" width="13.08203125" style="230" customWidth="1"/>
    <col min="13583" max="13590" width="9.6640625" style="230"/>
    <col min="13591" max="13591" width="12.6640625" style="230" customWidth="1"/>
    <col min="13592" max="13824" width="9.6640625" style="230"/>
    <col min="13825" max="13825" width="32.9140625" style="230" customWidth="1"/>
    <col min="13826" max="13826" width="6.9140625" style="230" customWidth="1"/>
    <col min="13827" max="13827" width="11.08203125" style="230" customWidth="1"/>
    <col min="13828" max="13828" width="12.33203125" style="230" customWidth="1"/>
    <col min="13829" max="13829" width="13.08203125" style="230" customWidth="1"/>
    <col min="13830" max="13830" width="12.08203125" style="230" customWidth="1"/>
    <col min="13831" max="13831" width="11.33203125" style="230" customWidth="1"/>
    <col min="13832" max="13835" width="12.9140625" style="230" customWidth="1"/>
    <col min="13836" max="13836" width="13.08203125" style="230" customWidth="1"/>
    <col min="13837" max="13837" width="12.9140625" style="230" customWidth="1"/>
    <col min="13838" max="13838" width="13.08203125" style="230" customWidth="1"/>
    <col min="13839" max="13846" width="9.6640625" style="230"/>
    <col min="13847" max="13847" width="12.6640625" style="230" customWidth="1"/>
    <col min="13848" max="14080" width="9.6640625" style="230"/>
    <col min="14081" max="14081" width="32.9140625" style="230" customWidth="1"/>
    <col min="14082" max="14082" width="6.9140625" style="230" customWidth="1"/>
    <col min="14083" max="14083" width="11.08203125" style="230" customWidth="1"/>
    <col min="14084" max="14084" width="12.33203125" style="230" customWidth="1"/>
    <col min="14085" max="14085" width="13.08203125" style="230" customWidth="1"/>
    <col min="14086" max="14086" width="12.08203125" style="230" customWidth="1"/>
    <col min="14087" max="14087" width="11.33203125" style="230" customWidth="1"/>
    <col min="14088" max="14091" width="12.9140625" style="230" customWidth="1"/>
    <col min="14092" max="14092" width="13.08203125" style="230" customWidth="1"/>
    <col min="14093" max="14093" width="12.9140625" style="230" customWidth="1"/>
    <col min="14094" max="14094" width="13.08203125" style="230" customWidth="1"/>
    <col min="14095" max="14102" width="9.6640625" style="230"/>
    <col min="14103" max="14103" width="12.6640625" style="230" customWidth="1"/>
    <col min="14104" max="14336" width="9.6640625" style="230"/>
    <col min="14337" max="14337" width="32.9140625" style="230" customWidth="1"/>
    <col min="14338" max="14338" width="6.9140625" style="230" customWidth="1"/>
    <col min="14339" max="14339" width="11.08203125" style="230" customWidth="1"/>
    <col min="14340" max="14340" width="12.33203125" style="230" customWidth="1"/>
    <col min="14341" max="14341" width="13.08203125" style="230" customWidth="1"/>
    <col min="14342" max="14342" width="12.08203125" style="230" customWidth="1"/>
    <col min="14343" max="14343" width="11.33203125" style="230" customWidth="1"/>
    <col min="14344" max="14347" width="12.9140625" style="230" customWidth="1"/>
    <col min="14348" max="14348" width="13.08203125" style="230" customWidth="1"/>
    <col min="14349" max="14349" width="12.9140625" style="230" customWidth="1"/>
    <col min="14350" max="14350" width="13.08203125" style="230" customWidth="1"/>
    <col min="14351" max="14358" width="9.6640625" style="230"/>
    <col min="14359" max="14359" width="12.6640625" style="230" customWidth="1"/>
    <col min="14360" max="14592" width="9.6640625" style="230"/>
    <col min="14593" max="14593" width="32.9140625" style="230" customWidth="1"/>
    <col min="14594" max="14594" width="6.9140625" style="230" customWidth="1"/>
    <col min="14595" max="14595" width="11.08203125" style="230" customWidth="1"/>
    <col min="14596" max="14596" width="12.33203125" style="230" customWidth="1"/>
    <col min="14597" max="14597" width="13.08203125" style="230" customWidth="1"/>
    <col min="14598" max="14598" width="12.08203125" style="230" customWidth="1"/>
    <col min="14599" max="14599" width="11.33203125" style="230" customWidth="1"/>
    <col min="14600" max="14603" width="12.9140625" style="230" customWidth="1"/>
    <col min="14604" max="14604" width="13.08203125" style="230" customWidth="1"/>
    <col min="14605" max="14605" width="12.9140625" style="230" customWidth="1"/>
    <col min="14606" max="14606" width="13.08203125" style="230" customWidth="1"/>
    <col min="14607" max="14614" width="9.6640625" style="230"/>
    <col min="14615" max="14615" width="12.6640625" style="230" customWidth="1"/>
    <col min="14616" max="14848" width="9.6640625" style="230"/>
    <col min="14849" max="14849" width="32.9140625" style="230" customWidth="1"/>
    <col min="14850" max="14850" width="6.9140625" style="230" customWidth="1"/>
    <col min="14851" max="14851" width="11.08203125" style="230" customWidth="1"/>
    <col min="14852" max="14852" width="12.33203125" style="230" customWidth="1"/>
    <col min="14853" max="14853" width="13.08203125" style="230" customWidth="1"/>
    <col min="14854" max="14854" width="12.08203125" style="230" customWidth="1"/>
    <col min="14855" max="14855" width="11.33203125" style="230" customWidth="1"/>
    <col min="14856" max="14859" width="12.9140625" style="230" customWidth="1"/>
    <col min="14860" max="14860" width="13.08203125" style="230" customWidth="1"/>
    <col min="14861" max="14861" width="12.9140625" style="230" customWidth="1"/>
    <col min="14862" max="14862" width="13.08203125" style="230" customWidth="1"/>
    <col min="14863" max="14870" width="9.6640625" style="230"/>
    <col min="14871" max="14871" width="12.6640625" style="230" customWidth="1"/>
    <col min="14872" max="15104" width="9.6640625" style="230"/>
    <col min="15105" max="15105" width="32.9140625" style="230" customWidth="1"/>
    <col min="15106" max="15106" width="6.9140625" style="230" customWidth="1"/>
    <col min="15107" max="15107" width="11.08203125" style="230" customWidth="1"/>
    <col min="15108" max="15108" width="12.33203125" style="230" customWidth="1"/>
    <col min="15109" max="15109" width="13.08203125" style="230" customWidth="1"/>
    <col min="15110" max="15110" width="12.08203125" style="230" customWidth="1"/>
    <col min="15111" max="15111" width="11.33203125" style="230" customWidth="1"/>
    <col min="15112" max="15115" width="12.9140625" style="230" customWidth="1"/>
    <col min="15116" max="15116" width="13.08203125" style="230" customWidth="1"/>
    <col min="15117" max="15117" width="12.9140625" style="230" customWidth="1"/>
    <col min="15118" max="15118" width="13.08203125" style="230" customWidth="1"/>
    <col min="15119" max="15126" width="9.6640625" style="230"/>
    <col min="15127" max="15127" width="12.6640625" style="230" customWidth="1"/>
    <col min="15128" max="15360" width="9.6640625" style="230"/>
    <col min="15361" max="15361" width="32.9140625" style="230" customWidth="1"/>
    <col min="15362" max="15362" width="6.9140625" style="230" customWidth="1"/>
    <col min="15363" max="15363" width="11.08203125" style="230" customWidth="1"/>
    <col min="15364" max="15364" width="12.33203125" style="230" customWidth="1"/>
    <col min="15365" max="15365" width="13.08203125" style="230" customWidth="1"/>
    <col min="15366" max="15366" width="12.08203125" style="230" customWidth="1"/>
    <col min="15367" max="15367" width="11.33203125" style="230" customWidth="1"/>
    <col min="15368" max="15371" width="12.9140625" style="230" customWidth="1"/>
    <col min="15372" max="15372" width="13.08203125" style="230" customWidth="1"/>
    <col min="15373" max="15373" width="12.9140625" style="230" customWidth="1"/>
    <col min="15374" max="15374" width="13.08203125" style="230" customWidth="1"/>
    <col min="15375" max="15382" width="9.6640625" style="230"/>
    <col min="15383" max="15383" width="12.6640625" style="230" customWidth="1"/>
    <col min="15384" max="15616" width="9.6640625" style="230"/>
    <col min="15617" max="15617" width="32.9140625" style="230" customWidth="1"/>
    <col min="15618" max="15618" width="6.9140625" style="230" customWidth="1"/>
    <col min="15619" max="15619" width="11.08203125" style="230" customWidth="1"/>
    <col min="15620" max="15620" width="12.33203125" style="230" customWidth="1"/>
    <col min="15621" max="15621" width="13.08203125" style="230" customWidth="1"/>
    <col min="15622" max="15622" width="12.08203125" style="230" customWidth="1"/>
    <col min="15623" max="15623" width="11.33203125" style="230" customWidth="1"/>
    <col min="15624" max="15627" width="12.9140625" style="230" customWidth="1"/>
    <col min="15628" max="15628" width="13.08203125" style="230" customWidth="1"/>
    <col min="15629" max="15629" width="12.9140625" style="230" customWidth="1"/>
    <col min="15630" max="15630" width="13.08203125" style="230" customWidth="1"/>
    <col min="15631" max="15638" width="9.6640625" style="230"/>
    <col min="15639" max="15639" width="12.6640625" style="230" customWidth="1"/>
    <col min="15640" max="15872" width="9.6640625" style="230"/>
    <col min="15873" max="15873" width="32.9140625" style="230" customWidth="1"/>
    <col min="15874" max="15874" width="6.9140625" style="230" customWidth="1"/>
    <col min="15875" max="15875" width="11.08203125" style="230" customWidth="1"/>
    <col min="15876" max="15876" width="12.33203125" style="230" customWidth="1"/>
    <col min="15877" max="15877" width="13.08203125" style="230" customWidth="1"/>
    <col min="15878" max="15878" width="12.08203125" style="230" customWidth="1"/>
    <col min="15879" max="15879" width="11.33203125" style="230" customWidth="1"/>
    <col min="15880" max="15883" width="12.9140625" style="230" customWidth="1"/>
    <col min="15884" max="15884" width="13.08203125" style="230" customWidth="1"/>
    <col min="15885" max="15885" width="12.9140625" style="230" customWidth="1"/>
    <col min="15886" max="15886" width="13.08203125" style="230" customWidth="1"/>
    <col min="15887" max="15894" width="9.6640625" style="230"/>
    <col min="15895" max="15895" width="12.6640625" style="230" customWidth="1"/>
    <col min="15896" max="16128" width="9.6640625" style="230"/>
    <col min="16129" max="16129" width="32.9140625" style="230" customWidth="1"/>
    <col min="16130" max="16130" width="6.9140625" style="230" customWidth="1"/>
    <col min="16131" max="16131" width="11.08203125" style="230" customWidth="1"/>
    <col min="16132" max="16132" width="12.33203125" style="230" customWidth="1"/>
    <col min="16133" max="16133" width="13.08203125" style="230" customWidth="1"/>
    <col min="16134" max="16134" width="12.08203125" style="230" customWidth="1"/>
    <col min="16135" max="16135" width="11.33203125" style="230" customWidth="1"/>
    <col min="16136" max="16139" width="12.9140625" style="230" customWidth="1"/>
    <col min="16140" max="16140" width="13.08203125" style="230" customWidth="1"/>
    <col min="16141" max="16141" width="12.9140625" style="230" customWidth="1"/>
    <col min="16142" max="16142" width="13.08203125" style="230" customWidth="1"/>
    <col min="16143" max="16150" width="9.6640625" style="230"/>
    <col min="16151" max="16151" width="12.6640625" style="230" customWidth="1"/>
    <col min="16152" max="16384" width="9.6640625" style="230"/>
  </cols>
  <sheetData>
    <row r="1" spans="1:93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67"/>
      <c r="K1" s="467"/>
      <c r="L1" s="467"/>
      <c r="M1" s="467"/>
      <c r="N1" s="467"/>
      <c r="P1" s="467"/>
      <c r="V1" s="225"/>
    </row>
    <row r="2" spans="1:93" ht="13.5" customHeight="1" x14ac:dyDescent="0.25">
      <c r="A2" s="210"/>
      <c r="B2" s="211"/>
      <c r="C2" s="262"/>
      <c r="D2" s="262"/>
      <c r="E2" s="211"/>
      <c r="F2" s="211"/>
      <c r="G2" s="211"/>
      <c r="H2" s="211"/>
      <c r="I2" s="211"/>
      <c r="J2" s="468"/>
      <c r="K2" s="468"/>
      <c r="L2" s="468"/>
      <c r="M2" s="468"/>
      <c r="N2" s="468"/>
      <c r="P2" s="468"/>
      <c r="V2" s="225"/>
    </row>
    <row r="3" spans="1:93" x14ac:dyDescent="0.25">
      <c r="A3" s="217" t="s">
        <v>108</v>
      </c>
      <c r="B3" s="264"/>
      <c r="C3" s="218" t="s">
        <v>34</v>
      </c>
      <c r="D3" s="218" t="s">
        <v>35</v>
      </c>
      <c r="E3" s="265" t="s">
        <v>36</v>
      </c>
      <c r="F3" s="265" t="s">
        <v>37</v>
      </c>
      <c r="G3" s="265" t="s">
        <v>40</v>
      </c>
      <c r="H3" s="265" t="s">
        <v>41</v>
      </c>
      <c r="I3" s="265" t="s">
        <v>329</v>
      </c>
      <c r="J3" s="265" t="s">
        <v>359</v>
      </c>
      <c r="K3" s="265" t="s">
        <v>359</v>
      </c>
      <c r="L3" s="265" t="s">
        <v>381</v>
      </c>
      <c r="M3" s="265"/>
      <c r="N3" s="265"/>
      <c r="P3" s="469"/>
      <c r="V3" s="267"/>
    </row>
    <row r="4" spans="1:93" x14ac:dyDescent="0.25">
      <c r="A4" s="217" t="s">
        <v>109</v>
      </c>
      <c r="B4" s="264"/>
      <c r="C4" s="221" t="s">
        <v>110</v>
      </c>
      <c r="D4" s="221" t="s">
        <v>110</v>
      </c>
      <c r="E4" s="268" t="s">
        <v>110</v>
      </c>
      <c r="F4" s="268" t="s">
        <v>110</v>
      </c>
      <c r="G4" s="268" t="s">
        <v>110</v>
      </c>
      <c r="H4" s="268" t="s">
        <v>110</v>
      </c>
      <c r="I4" s="268" t="s">
        <v>110</v>
      </c>
      <c r="J4" s="268" t="s">
        <v>110</v>
      </c>
      <c r="K4" s="268" t="s">
        <v>368</v>
      </c>
      <c r="L4" s="268" t="s">
        <v>368</v>
      </c>
      <c r="M4" s="268"/>
      <c r="N4" s="268"/>
      <c r="P4" s="470"/>
      <c r="V4" s="267"/>
    </row>
    <row r="5" spans="1:93" x14ac:dyDescent="0.25">
      <c r="A5" s="222" t="s">
        <v>111</v>
      </c>
      <c r="B5" s="269"/>
      <c r="C5" s="223" t="s">
        <v>140</v>
      </c>
      <c r="D5" s="223" t="s">
        <v>140</v>
      </c>
      <c r="E5" s="270" t="s">
        <v>140</v>
      </c>
      <c r="F5" s="270" t="s">
        <v>140</v>
      </c>
      <c r="G5" s="270" t="s">
        <v>140</v>
      </c>
      <c r="H5" s="270" t="s">
        <v>140</v>
      </c>
      <c r="I5" s="270" t="s">
        <v>140</v>
      </c>
      <c r="J5" s="270" t="s">
        <v>140</v>
      </c>
      <c r="K5" s="514" t="s">
        <v>441</v>
      </c>
      <c r="L5" s="514" t="s">
        <v>440</v>
      </c>
      <c r="M5" s="514"/>
      <c r="N5" s="514"/>
      <c r="P5" s="471"/>
      <c r="V5" s="267"/>
      <c r="X5" s="267"/>
      <c r="Y5" s="267"/>
    </row>
    <row r="6" spans="1:93" ht="7.5" customHeight="1" x14ac:dyDescent="0.25">
      <c r="A6" s="217"/>
      <c r="B6" s="271"/>
      <c r="C6" s="225"/>
      <c r="D6" s="225"/>
      <c r="E6" s="225"/>
      <c r="F6" s="225"/>
      <c r="G6" s="225"/>
      <c r="H6" s="225"/>
      <c r="I6" s="225"/>
      <c r="J6" s="472"/>
      <c r="K6" s="472"/>
      <c r="L6" s="472"/>
      <c r="M6" s="472"/>
      <c r="N6" s="472"/>
      <c r="P6" s="472"/>
      <c r="V6" s="267"/>
      <c r="X6" s="267"/>
      <c r="Y6" s="267"/>
    </row>
    <row r="7" spans="1:93" ht="15.5" x14ac:dyDescent="0.35">
      <c r="A7" s="264" t="s">
        <v>2</v>
      </c>
      <c r="B7" s="227"/>
      <c r="C7" s="266"/>
      <c r="E7" s="493"/>
      <c r="F7" s="266" t="s">
        <v>113</v>
      </c>
      <c r="G7" s="410"/>
      <c r="H7" s="410"/>
      <c r="I7" s="410"/>
      <c r="J7" s="473"/>
      <c r="K7" s="473"/>
      <c r="L7" s="473"/>
      <c r="M7" s="473"/>
      <c r="N7" s="473"/>
      <c r="P7" s="473"/>
      <c r="Q7" s="410"/>
      <c r="R7" s="410"/>
      <c r="S7" s="410"/>
      <c r="T7" s="410"/>
      <c r="U7" s="410"/>
      <c r="V7" s="410"/>
      <c r="W7" s="410"/>
      <c r="X7" s="410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5"/>
      <c r="AK7" s="410"/>
      <c r="AL7" s="410"/>
      <c r="AM7" s="410"/>
      <c r="AN7" s="496"/>
      <c r="AO7" s="496"/>
      <c r="AP7" s="496"/>
      <c r="AQ7" s="497"/>
      <c r="AR7" s="498"/>
      <c r="AS7" s="411"/>
      <c r="AT7" s="410"/>
      <c r="AU7" s="498"/>
      <c r="AV7" s="412"/>
      <c r="AW7" s="499"/>
      <c r="AX7" s="499"/>
      <c r="AY7" s="499"/>
      <c r="AZ7" s="499"/>
      <c r="BA7" s="499"/>
      <c r="BB7" s="499"/>
      <c r="BC7" s="493"/>
      <c r="BD7" s="415"/>
      <c r="BE7" s="415"/>
      <c r="BF7" s="409"/>
      <c r="BG7" s="414"/>
      <c r="BH7" s="414"/>
      <c r="BI7" s="414"/>
      <c r="BJ7" s="414"/>
      <c r="BK7" s="414"/>
      <c r="BL7" s="414"/>
      <c r="BM7" s="414"/>
      <c r="BN7" s="414"/>
      <c r="BO7" s="414"/>
      <c r="BP7" s="414"/>
      <c r="BQ7" s="414"/>
      <c r="BR7" s="414"/>
      <c r="BS7" s="413"/>
      <c r="BT7" s="414"/>
      <c r="BU7" s="414"/>
      <c r="BV7" s="500"/>
      <c r="BW7" s="500"/>
      <c r="BX7" s="493"/>
      <c r="BY7" s="493"/>
      <c r="BZ7" s="493"/>
      <c r="CA7" s="493"/>
      <c r="CB7" s="493"/>
      <c r="CC7" s="493"/>
      <c r="CD7" s="493"/>
      <c r="CE7" s="493"/>
      <c r="CF7" s="493"/>
      <c r="CG7" s="493"/>
      <c r="CH7" s="493"/>
      <c r="CI7" s="493"/>
      <c r="CJ7" s="493"/>
      <c r="CK7" s="493"/>
      <c r="CL7" s="493"/>
      <c r="CM7" s="493"/>
      <c r="CN7" s="493"/>
      <c r="CO7" s="493"/>
    </row>
    <row r="8" spans="1:93" ht="6.75" customHeight="1" x14ac:dyDescent="0.25">
      <c r="A8" s="272"/>
      <c r="B8" s="229"/>
      <c r="J8" s="474"/>
      <c r="K8" s="474"/>
      <c r="M8" s="474"/>
      <c r="V8" s="225"/>
      <c r="X8" s="259"/>
      <c r="Y8" s="259"/>
    </row>
    <row r="9" spans="1:93" x14ac:dyDescent="0.25">
      <c r="A9" s="274" t="s">
        <v>141</v>
      </c>
      <c r="B9" s="227"/>
      <c r="C9" s="275">
        <v>41.7</v>
      </c>
      <c r="D9" s="275">
        <v>38.1</v>
      </c>
      <c r="E9" s="275">
        <v>30.200000000000003</v>
      </c>
      <c r="F9" s="275">
        <f t="shared" ref="F9:J9" si="0">F10+F11+F12</f>
        <v>22.200000000000003</v>
      </c>
      <c r="G9" s="275">
        <f t="shared" si="0"/>
        <v>14</v>
      </c>
      <c r="H9" s="275">
        <f t="shared" si="0"/>
        <v>27.8</v>
      </c>
      <c r="I9" s="275">
        <f t="shared" si="0"/>
        <v>39.6</v>
      </c>
      <c r="J9" s="275">
        <f t="shared" si="0"/>
        <v>35.299999999999997</v>
      </c>
      <c r="K9" s="275">
        <f>K10+K11+K12</f>
        <v>34</v>
      </c>
      <c r="L9" s="275">
        <f t="shared" ref="L9" si="1">L10+L11+L12</f>
        <v>20.3</v>
      </c>
      <c r="M9" s="275"/>
      <c r="N9" s="275"/>
      <c r="P9" s="475"/>
      <c r="V9" s="225"/>
    </row>
    <row r="10" spans="1:93" x14ac:dyDescent="0.25">
      <c r="A10" s="276" t="s">
        <v>142</v>
      </c>
      <c r="B10" s="227"/>
      <c r="C10" s="277">
        <v>37.700000000000003</v>
      </c>
      <c r="D10" s="277">
        <v>30.6</v>
      </c>
      <c r="E10" s="277">
        <v>26.8</v>
      </c>
      <c r="F10" s="277">
        <v>18.600000000000001</v>
      </c>
      <c r="G10" s="277">
        <v>11</v>
      </c>
      <c r="H10" s="277">
        <v>24.8</v>
      </c>
      <c r="I10" s="277">
        <v>36.299999999999997</v>
      </c>
      <c r="J10" s="476">
        <v>31.9</v>
      </c>
      <c r="K10" s="476">
        <f>13.1+17.7</f>
        <v>30.799999999999997</v>
      </c>
      <c r="L10" s="476">
        <f>0.3+17.4</f>
        <v>17.7</v>
      </c>
      <c r="M10" s="476"/>
      <c r="N10" s="476"/>
      <c r="P10" s="476"/>
      <c r="V10" s="225"/>
      <c r="X10" s="259"/>
      <c r="Y10" s="259"/>
    </row>
    <row r="11" spans="1:93" x14ac:dyDescent="0.25">
      <c r="A11" s="276" t="s">
        <v>143</v>
      </c>
      <c r="B11" s="227"/>
      <c r="C11" s="277">
        <v>1.1000000000000001</v>
      </c>
      <c r="D11" s="277">
        <v>2.9</v>
      </c>
      <c r="E11" s="277">
        <v>2.2999999999999998</v>
      </c>
      <c r="F11" s="277">
        <v>2.5</v>
      </c>
      <c r="G11" s="277">
        <v>2</v>
      </c>
      <c r="H11" s="277">
        <v>2.1</v>
      </c>
      <c r="I11" s="277">
        <v>1.7</v>
      </c>
      <c r="J11" s="476">
        <v>2</v>
      </c>
      <c r="K11" s="476">
        <v>2</v>
      </c>
      <c r="L11" s="476">
        <f>0.4+0.9</f>
        <v>1.3</v>
      </c>
      <c r="M11" s="476"/>
      <c r="N11" s="476"/>
      <c r="P11" s="476"/>
      <c r="V11" s="225"/>
      <c r="X11" s="259"/>
      <c r="Y11" s="259"/>
    </row>
    <row r="12" spans="1:93" x14ac:dyDescent="0.25">
      <c r="A12" s="276" t="s">
        <v>144</v>
      </c>
      <c r="B12" s="227"/>
      <c r="C12" s="277">
        <v>2.9000000000000004</v>
      </c>
      <c r="D12" s="277">
        <v>4.5999999999999996</v>
      </c>
      <c r="E12" s="277">
        <v>1.1000000000000001</v>
      </c>
      <c r="F12" s="277">
        <v>1.1000000000000001</v>
      </c>
      <c r="G12" s="277">
        <v>1</v>
      </c>
      <c r="H12" s="277">
        <v>0.9</v>
      </c>
      <c r="I12" s="277">
        <v>1.6</v>
      </c>
      <c r="J12" s="476">
        <v>1.4</v>
      </c>
      <c r="K12" s="476">
        <v>1.2</v>
      </c>
      <c r="L12" s="476">
        <v>1.3</v>
      </c>
      <c r="M12" s="476"/>
      <c r="N12" s="476"/>
      <c r="P12" s="476"/>
      <c r="V12" s="225"/>
      <c r="X12" s="259"/>
      <c r="Y12" s="259"/>
    </row>
    <row r="13" spans="1:93" ht="6.75" customHeight="1" x14ac:dyDescent="0.25">
      <c r="A13" s="278"/>
      <c r="B13" s="227"/>
      <c r="C13" s="277"/>
      <c r="D13" s="277"/>
      <c r="E13" s="277"/>
      <c r="F13" s="277"/>
      <c r="G13" s="277"/>
      <c r="H13" s="277"/>
      <c r="I13" s="277"/>
      <c r="J13" s="476"/>
      <c r="K13" s="476"/>
      <c r="L13" s="476"/>
      <c r="M13" s="476"/>
      <c r="N13" s="476"/>
      <c r="P13" s="476"/>
      <c r="V13" s="225"/>
      <c r="X13" s="259"/>
      <c r="Y13" s="259"/>
    </row>
    <row r="14" spans="1:93" x14ac:dyDescent="0.25">
      <c r="A14" s="274" t="s">
        <v>145</v>
      </c>
      <c r="B14" s="227"/>
      <c r="C14" s="275">
        <f t="shared" ref="C14:L14" si="2">C15+C16+C17+C18</f>
        <v>561.4</v>
      </c>
      <c r="D14" s="275">
        <f t="shared" si="2"/>
        <v>474.6</v>
      </c>
      <c r="E14" s="275">
        <f t="shared" si="2"/>
        <v>464.1</v>
      </c>
      <c r="F14" s="275">
        <f t="shared" si="2"/>
        <v>608.30000000000007</v>
      </c>
      <c r="G14" s="275">
        <f t="shared" si="2"/>
        <v>690.3</v>
      </c>
      <c r="H14" s="275">
        <f t="shared" si="2"/>
        <v>451.40000000000003</v>
      </c>
      <c r="I14" s="275">
        <f t="shared" si="2"/>
        <v>531.6</v>
      </c>
      <c r="J14" s="275">
        <f t="shared" si="2"/>
        <v>559.6</v>
      </c>
      <c r="K14" s="275">
        <f t="shared" ref="K14" si="3">K15+K16+K17+K18</f>
        <v>622.50000000000011</v>
      </c>
      <c r="L14" s="275">
        <f t="shared" si="2"/>
        <v>579.19999999999993</v>
      </c>
      <c r="M14" s="275"/>
      <c r="N14" s="275"/>
      <c r="P14" s="475"/>
      <c r="V14" s="225"/>
      <c r="X14" s="259"/>
      <c r="Y14" s="259"/>
    </row>
    <row r="15" spans="1:93" x14ac:dyDescent="0.25">
      <c r="A15" s="278" t="s">
        <v>146</v>
      </c>
      <c r="B15" s="227"/>
      <c r="C15" s="275">
        <v>6.2</v>
      </c>
      <c r="D15" s="275">
        <v>6.2</v>
      </c>
      <c r="E15" s="275">
        <v>0.3</v>
      </c>
      <c r="F15" s="275">
        <v>1.1000000000000001</v>
      </c>
      <c r="G15" s="275">
        <v>13.2</v>
      </c>
      <c r="H15" s="275">
        <v>9.6</v>
      </c>
      <c r="I15" s="275">
        <v>6.8</v>
      </c>
      <c r="J15" s="475">
        <v>7.4</v>
      </c>
      <c r="K15" s="475">
        <v>5.6</v>
      </c>
      <c r="L15" s="475">
        <v>5.3</v>
      </c>
      <c r="M15" s="475"/>
      <c r="N15" s="475"/>
      <c r="P15" s="475"/>
      <c r="V15" s="225"/>
      <c r="X15" s="259"/>
      <c r="Y15" s="259"/>
    </row>
    <row r="16" spans="1:93" x14ac:dyDescent="0.25">
      <c r="A16" s="276" t="s">
        <v>147</v>
      </c>
      <c r="B16" s="227"/>
      <c r="C16" s="275">
        <v>347.6</v>
      </c>
      <c r="D16" s="275">
        <v>364.2</v>
      </c>
      <c r="E16" s="275">
        <v>307.7</v>
      </c>
      <c r="F16" s="275">
        <v>429.6</v>
      </c>
      <c r="G16" s="275">
        <v>428.8</v>
      </c>
      <c r="H16" s="275">
        <v>322.5</v>
      </c>
      <c r="I16" s="275">
        <v>336.5</v>
      </c>
      <c r="J16" s="475">
        <v>422.6</v>
      </c>
      <c r="K16" s="475">
        <f>224.1+236.9</f>
        <v>461</v>
      </c>
      <c r="L16" s="475">
        <f>191.5+187.4</f>
        <v>378.9</v>
      </c>
      <c r="M16" s="475"/>
      <c r="N16" s="475"/>
      <c r="P16" s="475"/>
      <c r="V16" s="225"/>
    </row>
    <row r="17" spans="1:25" x14ac:dyDescent="0.25">
      <c r="A17" s="276" t="s">
        <v>148</v>
      </c>
      <c r="B17" s="227"/>
      <c r="C17" s="275">
        <v>145.1</v>
      </c>
      <c r="D17" s="275">
        <v>72.099999999999994</v>
      </c>
      <c r="E17" s="275">
        <v>123.5</v>
      </c>
      <c r="F17" s="275">
        <v>132.6</v>
      </c>
      <c r="G17" s="275">
        <v>220.8</v>
      </c>
      <c r="H17" s="275">
        <v>88.3</v>
      </c>
      <c r="I17" s="275">
        <v>166.3</v>
      </c>
      <c r="J17" s="475">
        <v>118.5</v>
      </c>
      <c r="K17" s="475">
        <f>77.2+62.6</f>
        <v>139.80000000000001</v>
      </c>
      <c r="L17" s="475">
        <f>92.8+87.6</f>
        <v>180.39999999999998</v>
      </c>
      <c r="M17" s="475"/>
      <c r="N17" s="475"/>
      <c r="P17" s="475"/>
      <c r="V17" s="225"/>
    </row>
    <row r="18" spans="1:25" x14ac:dyDescent="0.25">
      <c r="A18" s="276" t="s">
        <v>149</v>
      </c>
      <c r="B18" s="227"/>
      <c r="C18" s="275">
        <v>62.5</v>
      </c>
      <c r="D18" s="275">
        <v>32.1</v>
      </c>
      <c r="E18" s="275">
        <v>32.6</v>
      </c>
      <c r="F18" s="275">
        <v>45</v>
      </c>
      <c r="G18" s="275">
        <v>27.5</v>
      </c>
      <c r="H18" s="275">
        <v>31</v>
      </c>
      <c r="I18" s="275">
        <v>22</v>
      </c>
      <c r="J18" s="475">
        <v>11.1</v>
      </c>
      <c r="K18" s="475">
        <f>9.2+6.9</f>
        <v>16.100000000000001</v>
      </c>
      <c r="L18" s="475">
        <v>14.6</v>
      </c>
      <c r="M18" s="475"/>
      <c r="N18" s="475"/>
      <c r="P18" s="475"/>
      <c r="V18" s="225"/>
    </row>
    <row r="19" spans="1:25" ht="6.75" customHeight="1" x14ac:dyDescent="0.25">
      <c r="A19" s="278" t="s">
        <v>81</v>
      </c>
      <c r="B19" s="227"/>
      <c r="C19" s="277"/>
      <c r="D19" s="277"/>
      <c r="E19" s="277"/>
      <c r="F19" s="277"/>
      <c r="G19" s="277"/>
      <c r="H19" s="277"/>
      <c r="I19" s="277"/>
      <c r="J19" s="476"/>
      <c r="K19" s="476"/>
      <c r="L19" s="476"/>
      <c r="M19" s="476"/>
      <c r="N19" s="476"/>
      <c r="P19" s="476"/>
      <c r="V19" s="225"/>
      <c r="X19" s="259"/>
      <c r="Y19" s="259"/>
    </row>
    <row r="20" spans="1:25" ht="12" customHeight="1" x14ac:dyDescent="0.25">
      <c r="A20" s="279" t="s">
        <v>150</v>
      </c>
      <c r="B20" s="229"/>
      <c r="C20" s="275">
        <f>463.6</f>
        <v>463.6</v>
      </c>
      <c r="D20" s="275">
        <v>605.80000000000007</v>
      </c>
      <c r="E20" s="275">
        <v>468.70000000000005</v>
      </c>
      <c r="F20" s="275">
        <v>487.19999999999993</v>
      </c>
      <c r="G20" s="275">
        <f>572.4-G15+G32-G17</f>
        <v>468.39999999999992</v>
      </c>
      <c r="H20" s="275">
        <f>378.3-H15+H32-H17</f>
        <v>281</v>
      </c>
      <c r="I20" s="275">
        <f>549.4-I15+I32-I17</f>
        <v>378.40000000000003</v>
      </c>
      <c r="J20" s="275">
        <f>514.2-J15+J32-J17</f>
        <v>416.6</v>
      </c>
      <c r="K20" s="275">
        <f>98.9+379.5+K32-K17-K15</f>
        <v>359.89999999999992</v>
      </c>
      <c r="L20" s="275">
        <f>138.4+255.2+L32-L17-L15</f>
        <v>208.60000000000002</v>
      </c>
      <c r="M20" s="275"/>
      <c r="N20" s="275"/>
      <c r="P20" s="475"/>
      <c r="V20" s="225"/>
      <c r="X20" s="259"/>
      <c r="Y20" s="259"/>
    </row>
    <row r="21" spans="1:25" ht="12" customHeight="1" x14ac:dyDescent="0.25">
      <c r="A21" s="278" t="s">
        <v>151</v>
      </c>
      <c r="B21" s="229"/>
      <c r="C21" s="277">
        <v>9.1</v>
      </c>
      <c r="D21" s="277">
        <v>10.4</v>
      </c>
      <c r="E21" s="277">
        <v>6.5</v>
      </c>
      <c r="F21" s="277">
        <v>5.5</v>
      </c>
      <c r="G21" s="277">
        <v>5.4</v>
      </c>
      <c r="H21" s="277">
        <v>5</v>
      </c>
      <c r="I21" s="277">
        <v>2.9</v>
      </c>
      <c r="J21" s="476">
        <v>2.6</v>
      </c>
      <c r="K21" s="476">
        <v>1.8</v>
      </c>
      <c r="L21" s="476">
        <v>3.1</v>
      </c>
      <c r="M21" s="476"/>
      <c r="N21" s="476"/>
      <c r="P21" s="476"/>
      <c r="V21" s="225"/>
      <c r="X21" s="259"/>
      <c r="Y21" s="259"/>
    </row>
    <row r="22" spans="1:25" ht="12" customHeight="1" x14ac:dyDescent="0.25">
      <c r="A22" s="278" t="s">
        <v>152</v>
      </c>
      <c r="B22" s="227"/>
      <c r="C22" s="277">
        <v>125.7</v>
      </c>
      <c r="D22" s="277">
        <v>0</v>
      </c>
      <c r="E22" s="277">
        <v>0</v>
      </c>
      <c r="F22" s="277">
        <v>61.4</v>
      </c>
      <c r="G22" s="277">
        <v>0</v>
      </c>
      <c r="H22" s="277">
        <v>0</v>
      </c>
      <c r="I22" s="277">
        <v>0</v>
      </c>
      <c r="J22" s="476">
        <v>0</v>
      </c>
      <c r="K22" s="476">
        <v>0</v>
      </c>
      <c r="L22" s="476">
        <v>0</v>
      </c>
      <c r="M22" s="476"/>
      <c r="N22" s="476"/>
      <c r="P22" s="476"/>
      <c r="V22" s="225"/>
      <c r="X22" s="259"/>
      <c r="Y22" s="259"/>
    </row>
    <row r="23" spans="1:25" ht="12" customHeight="1" x14ac:dyDescent="0.25">
      <c r="A23" s="278" t="s">
        <v>153</v>
      </c>
      <c r="B23" s="227"/>
      <c r="C23" s="277">
        <v>0</v>
      </c>
      <c r="D23" s="277">
        <v>132.5</v>
      </c>
      <c r="E23" s="277">
        <v>123.5</v>
      </c>
      <c r="F23" s="277">
        <v>155.4</v>
      </c>
      <c r="G23" s="277">
        <v>31.6</v>
      </c>
      <c r="H23" s="277">
        <v>96.4</v>
      </c>
      <c r="I23" s="277">
        <v>155.5</v>
      </c>
      <c r="J23" s="476">
        <v>154.5</v>
      </c>
      <c r="K23" s="476">
        <v>154.5</v>
      </c>
      <c r="L23" s="476">
        <v>0</v>
      </c>
      <c r="M23" s="476"/>
      <c r="N23" s="476"/>
      <c r="P23" s="476"/>
      <c r="V23" s="225"/>
      <c r="X23" s="259"/>
      <c r="Y23" s="259"/>
    </row>
    <row r="24" spans="1:25" ht="12" customHeight="1" x14ac:dyDescent="0.25">
      <c r="A24" s="278" t="s">
        <v>154</v>
      </c>
      <c r="B24" s="227"/>
      <c r="C24" s="275">
        <v>16.899999999999999</v>
      </c>
      <c r="D24" s="275">
        <v>19.2</v>
      </c>
      <c r="E24" s="275">
        <v>9.3000000000000007</v>
      </c>
      <c r="F24" s="275">
        <v>13.7</v>
      </c>
      <c r="G24" s="275">
        <v>15.2</v>
      </c>
      <c r="H24" s="275">
        <v>7.4</v>
      </c>
      <c r="I24" s="275">
        <v>14.7</v>
      </c>
      <c r="J24" s="475">
        <v>26.5</v>
      </c>
      <c r="K24" s="475">
        <f>3.1+13.8</f>
        <v>16.900000000000002</v>
      </c>
      <c r="L24" s="475">
        <f>1.4+18.5</f>
        <v>19.899999999999999</v>
      </c>
      <c r="M24" s="475"/>
      <c r="N24" s="475"/>
      <c r="P24" s="475"/>
      <c r="V24" s="225"/>
      <c r="X24" s="259"/>
      <c r="Y24" s="259"/>
    </row>
    <row r="25" spans="1:25" ht="12" customHeight="1" x14ac:dyDescent="0.25">
      <c r="A25" s="278" t="s">
        <v>155</v>
      </c>
      <c r="B25" s="227"/>
      <c r="C25" s="275">
        <v>71.2</v>
      </c>
      <c r="D25" s="275">
        <v>88.7</v>
      </c>
      <c r="E25" s="275">
        <v>71.900000000000006</v>
      </c>
      <c r="F25" s="275">
        <v>82.2</v>
      </c>
      <c r="G25" s="275">
        <v>98.5</v>
      </c>
      <c r="H25" s="275">
        <v>61.1</v>
      </c>
      <c r="I25" s="275">
        <v>62.9</v>
      </c>
      <c r="J25" s="475">
        <v>57</v>
      </c>
      <c r="K25" s="475">
        <f>10.5+43.5</f>
        <v>54</v>
      </c>
      <c r="L25" s="475">
        <f>25.4+47.8</f>
        <v>73.199999999999989</v>
      </c>
      <c r="M25" s="475"/>
      <c r="N25" s="475"/>
      <c r="P25" s="475"/>
      <c r="V25" s="225"/>
      <c r="X25" s="259"/>
      <c r="Y25" s="259"/>
    </row>
    <row r="26" spans="1:25" ht="12" customHeight="1" x14ac:dyDescent="0.25">
      <c r="A26" s="278" t="s">
        <v>156</v>
      </c>
      <c r="B26" s="227"/>
      <c r="C26" s="277">
        <v>5.5</v>
      </c>
      <c r="D26" s="277">
        <v>2</v>
      </c>
      <c r="E26" s="277">
        <v>2</v>
      </c>
      <c r="F26" s="277">
        <v>1.1000000000000001</v>
      </c>
      <c r="G26" s="277">
        <v>1.7</v>
      </c>
      <c r="H26" s="277">
        <v>0.4</v>
      </c>
      <c r="I26" s="277">
        <v>0.3</v>
      </c>
      <c r="J26" s="476">
        <v>0.5</v>
      </c>
      <c r="K26" s="476">
        <v>0.4</v>
      </c>
      <c r="L26" s="476">
        <v>0.3</v>
      </c>
      <c r="M26" s="476"/>
      <c r="N26" s="476"/>
      <c r="P26" s="476"/>
      <c r="V26" s="225"/>
      <c r="X26" s="259"/>
      <c r="Y26" s="259"/>
    </row>
    <row r="27" spans="1:25" ht="12" customHeight="1" x14ac:dyDescent="0.25">
      <c r="A27" s="278" t="s">
        <v>157</v>
      </c>
      <c r="B27" s="227"/>
      <c r="C27" s="277">
        <v>3</v>
      </c>
      <c r="D27" s="277">
        <v>3.8</v>
      </c>
      <c r="E27" s="277">
        <v>2.1</v>
      </c>
      <c r="F27" s="277">
        <v>2.4</v>
      </c>
      <c r="G27" s="277">
        <v>3.1</v>
      </c>
      <c r="H27" s="277">
        <v>3.1</v>
      </c>
      <c r="I27" s="277">
        <v>3.4</v>
      </c>
      <c r="J27" s="476">
        <v>4.5999999999999996</v>
      </c>
      <c r="K27" s="476">
        <v>3.6</v>
      </c>
      <c r="L27" s="476">
        <v>3.8</v>
      </c>
      <c r="M27" s="476"/>
      <c r="N27" s="476"/>
      <c r="P27" s="476"/>
      <c r="V27" s="225"/>
      <c r="X27" s="259"/>
      <c r="Y27" s="259"/>
    </row>
    <row r="28" spans="1:25" ht="12" customHeight="1" x14ac:dyDescent="0.25">
      <c r="A28" s="278" t="s">
        <v>158</v>
      </c>
      <c r="B28" s="227"/>
      <c r="C28" s="277">
        <v>0</v>
      </c>
      <c r="D28" s="277">
        <v>0</v>
      </c>
      <c r="E28" s="277">
        <v>12.4</v>
      </c>
      <c r="F28" s="277">
        <v>20.9</v>
      </c>
      <c r="G28" s="277">
        <v>2</v>
      </c>
      <c r="H28" s="277">
        <v>0</v>
      </c>
      <c r="I28" s="277">
        <v>0</v>
      </c>
      <c r="J28" s="476">
        <v>0</v>
      </c>
      <c r="K28" s="476">
        <v>0</v>
      </c>
      <c r="L28" s="476">
        <v>0</v>
      </c>
      <c r="M28" s="476"/>
      <c r="N28" s="476"/>
      <c r="P28" s="476"/>
      <c r="V28" s="225"/>
    </row>
    <row r="29" spans="1:25" ht="12" customHeight="1" x14ac:dyDescent="0.25">
      <c r="A29" s="278" t="s">
        <v>159</v>
      </c>
      <c r="B29" s="227"/>
      <c r="C29" s="275">
        <v>122.8</v>
      </c>
      <c r="D29" s="275">
        <v>90.9</v>
      </c>
      <c r="E29" s="275">
        <v>111.7</v>
      </c>
      <c r="F29" s="275">
        <v>97</v>
      </c>
      <c r="G29" s="275">
        <v>141</v>
      </c>
      <c r="H29" s="275">
        <v>91.6</v>
      </c>
      <c r="I29" s="275">
        <v>110.2</v>
      </c>
      <c r="J29" s="475">
        <v>116.4</v>
      </c>
      <c r="K29" s="475">
        <f>4.8+80.9</f>
        <v>85.7</v>
      </c>
      <c r="L29" s="475">
        <f>15.6+73.5</f>
        <v>89.1</v>
      </c>
      <c r="M29" s="475"/>
      <c r="N29" s="475"/>
      <c r="P29" s="475"/>
      <c r="V29" s="225"/>
      <c r="X29" s="259"/>
      <c r="Y29" s="259"/>
    </row>
    <row r="30" spans="1:25" ht="12" customHeight="1" x14ac:dyDescent="0.25">
      <c r="A30" s="278" t="s">
        <v>160</v>
      </c>
      <c r="B30" s="227"/>
      <c r="C30" s="277">
        <v>6.6</v>
      </c>
      <c r="D30" s="277">
        <v>7.5</v>
      </c>
      <c r="E30" s="277">
        <v>3.8</v>
      </c>
      <c r="F30" s="277">
        <v>3.3</v>
      </c>
      <c r="G30" s="277">
        <v>4.5</v>
      </c>
      <c r="H30" s="277">
        <v>2.7</v>
      </c>
      <c r="I30" s="277">
        <v>2.1</v>
      </c>
      <c r="J30" s="476">
        <v>3.5</v>
      </c>
      <c r="K30" s="476">
        <v>2.6</v>
      </c>
      <c r="L30" s="476">
        <v>1.4</v>
      </c>
      <c r="M30" s="476"/>
      <c r="N30" s="476"/>
      <c r="P30" s="476"/>
      <c r="V30" s="225"/>
    </row>
    <row r="31" spans="1:25" ht="12" customHeight="1" x14ac:dyDescent="0.25">
      <c r="A31" s="278" t="s">
        <v>161</v>
      </c>
      <c r="B31" s="227"/>
      <c r="C31" s="277">
        <v>0</v>
      </c>
      <c r="D31" s="277">
        <v>1</v>
      </c>
      <c r="E31" s="277">
        <v>0</v>
      </c>
      <c r="F31" s="277">
        <v>0</v>
      </c>
      <c r="G31" s="277">
        <v>0</v>
      </c>
      <c r="H31" s="277">
        <v>0</v>
      </c>
      <c r="I31" s="277">
        <v>0</v>
      </c>
      <c r="J31" s="476">
        <v>0</v>
      </c>
      <c r="K31" s="476">
        <v>0</v>
      </c>
      <c r="L31" s="476">
        <v>0</v>
      </c>
      <c r="M31" s="476"/>
      <c r="N31" s="476"/>
      <c r="P31" s="476"/>
      <c r="V31" s="225"/>
      <c r="X31" s="259"/>
      <c r="Y31" s="259"/>
    </row>
    <row r="32" spans="1:25" ht="12" customHeight="1" x14ac:dyDescent="0.25">
      <c r="A32" s="276" t="s">
        <v>162</v>
      </c>
      <c r="B32" s="227"/>
      <c r="C32" s="277">
        <v>75.400000000000006</v>
      </c>
      <c r="D32" s="277">
        <v>219.5</v>
      </c>
      <c r="E32" s="277">
        <v>106.9</v>
      </c>
      <c r="F32" s="277">
        <v>22.4</v>
      </c>
      <c r="G32" s="277">
        <v>130</v>
      </c>
      <c r="H32" s="277">
        <v>0.6</v>
      </c>
      <c r="I32" s="277">
        <v>2.1</v>
      </c>
      <c r="J32" s="476">
        <v>28.3</v>
      </c>
      <c r="K32" s="476">
        <v>26.9</v>
      </c>
      <c r="L32" s="476">
        <v>0.7</v>
      </c>
      <c r="M32" s="476"/>
      <c r="N32" s="476"/>
      <c r="P32" s="476"/>
      <c r="V32" s="225"/>
      <c r="X32" s="259"/>
      <c r="Y32" s="259"/>
    </row>
    <row r="33" spans="1:25" ht="12" customHeight="1" x14ac:dyDescent="0.25">
      <c r="A33" s="278" t="s">
        <v>163</v>
      </c>
      <c r="B33" s="227"/>
      <c r="C33" s="280">
        <v>27.399999999999864</v>
      </c>
      <c r="D33" s="280">
        <v>30.300000000000068</v>
      </c>
      <c r="E33" s="280">
        <v>18.600000000000023</v>
      </c>
      <c r="F33" s="280">
        <v>21.899999999999977</v>
      </c>
      <c r="G33" s="281">
        <f>G20-SUM(G21:G32)</f>
        <v>35.39999999999992</v>
      </c>
      <c r="H33" s="281">
        <f>H20-SUM(H21:H32)</f>
        <v>12.699999999999989</v>
      </c>
      <c r="I33" s="281">
        <f>I20-SUM(I21:I32)</f>
        <v>24.299999999999955</v>
      </c>
      <c r="J33" s="281">
        <f>J20-SUM(J21:J32)</f>
        <v>22.699999999999989</v>
      </c>
      <c r="K33" s="281">
        <f>K20-SUM(K21:K32)</f>
        <v>13.499999999999886</v>
      </c>
      <c r="L33" s="281">
        <f t="shared" ref="L33" si="4">L20-SUM(L21:L32)</f>
        <v>17.100000000000051</v>
      </c>
      <c r="M33" s="281"/>
      <c r="N33" s="281"/>
      <c r="P33" s="477"/>
    </row>
    <row r="34" spans="1:25" ht="6.75" customHeight="1" x14ac:dyDescent="0.25">
      <c r="A34" s="278" t="s">
        <v>2</v>
      </c>
      <c r="B34" s="229"/>
      <c r="C34" s="277"/>
      <c r="D34" s="277"/>
      <c r="E34" s="277"/>
      <c r="F34" s="277"/>
      <c r="G34" s="277"/>
      <c r="H34" s="282"/>
      <c r="I34" s="282"/>
      <c r="J34" s="478"/>
      <c r="K34" s="478"/>
      <c r="L34" s="478"/>
      <c r="M34" s="478"/>
      <c r="N34" s="478"/>
      <c r="P34" s="478"/>
      <c r="V34" s="225"/>
      <c r="X34" s="259"/>
      <c r="Y34" s="259"/>
    </row>
    <row r="35" spans="1:25" x14ac:dyDescent="0.25">
      <c r="A35" s="274" t="s">
        <v>164</v>
      </c>
      <c r="B35" s="229"/>
      <c r="C35" s="275">
        <v>249.1</v>
      </c>
      <c r="D35" s="275">
        <v>110.8</v>
      </c>
      <c r="E35" s="275">
        <v>128</v>
      </c>
      <c r="F35" s="275">
        <v>91.4</v>
      </c>
      <c r="G35" s="275">
        <v>147.9</v>
      </c>
      <c r="H35" s="275">
        <v>54.1</v>
      </c>
      <c r="I35" s="275">
        <v>61.7</v>
      </c>
      <c r="J35" s="475">
        <v>7.5</v>
      </c>
      <c r="K35" s="475">
        <f>2.5+6.4</f>
        <v>8.9</v>
      </c>
      <c r="L35" s="475">
        <f>2.5+7.8</f>
        <v>10.3</v>
      </c>
      <c r="M35" s="475"/>
      <c r="N35" s="475"/>
      <c r="P35" s="475"/>
      <c r="V35" s="225"/>
      <c r="X35" s="259"/>
      <c r="Y35" s="259"/>
    </row>
    <row r="36" spans="1:25" x14ac:dyDescent="0.25">
      <c r="A36" s="278" t="s">
        <v>165</v>
      </c>
      <c r="B36" s="229"/>
      <c r="C36" s="277">
        <v>0</v>
      </c>
      <c r="D36" s="277">
        <v>0</v>
      </c>
      <c r="E36" s="277">
        <v>0</v>
      </c>
      <c r="F36" s="277">
        <v>0</v>
      </c>
      <c r="G36" s="277">
        <v>3</v>
      </c>
      <c r="H36" s="277">
        <v>0</v>
      </c>
      <c r="I36" s="277">
        <v>0</v>
      </c>
      <c r="J36" s="476">
        <v>0</v>
      </c>
      <c r="K36" s="476">
        <v>0</v>
      </c>
      <c r="L36" s="476">
        <v>0</v>
      </c>
      <c r="M36" s="476"/>
      <c r="N36" s="476"/>
      <c r="P36" s="476"/>
      <c r="V36" s="225"/>
      <c r="X36" s="259"/>
      <c r="Y36" s="259"/>
    </row>
    <row r="37" spans="1:25" x14ac:dyDescent="0.25">
      <c r="A37" s="278" t="s">
        <v>166</v>
      </c>
      <c r="B37" s="227"/>
      <c r="C37" s="277">
        <v>112.1</v>
      </c>
      <c r="D37" s="277">
        <v>41.7</v>
      </c>
      <c r="E37" s="277">
        <v>29.8</v>
      </c>
      <c r="F37" s="277">
        <v>0</v>
      </c>
      <c r="G37" s="277">
        <v>4.2</v>
      </c>
      <c r="H37" s="277">
        <v>6.8</v>
      </c>
      <c r="I37" s="277">
        <v>6.4</v>
      </c>
      <c r="J37" s="476">
        <v>3.6</v>
      </c>
      <c r="K37" s="476">
        <v>3.2</v>
      </c>
      <c r="L37" s="476">
        <f>5.7+2</f>
        <v>7.7</v>
      </c>
      <c r="M37" s="476"/>
      <c r="N37" s="476"/>
      <c r="P37" s="476"/>
    </row>
    <row r="38" spans="1:25" x14ac:dyDescent="0.25">
      <c r="A38" s="278" t="s">
        <v>167</v>
      </c>
      <c r="B38" s="227"/>
      <c r="C38" s="277">
        <v>4.4000000000000004</v>
      </c>
      <c r="D38" s="277">
        <v>3.6</v>
      </c>
      <c r="E38" s="277">
        <v>4.0999999999999996</v>
      </c>
      <c r="F38" s="277">
        <v>3.1</v>
      </c>
      <c r="G38" s="277">
        <v>3.4</v>
      </c>
      <c r="H38" s="277">
        <v>1.3</v>
      </c>
      <c r="I38" s="277">
        <v>1.8</v>
      </c>
      <c r="J38" s="476">
        <v>0.6</v>
      </c>
      <c r="K38" s="476">
        <v>0.6</v>
      </c>
      <c r="L38" s="476">
        <v>1</v>
      </c>
      <c r="M38" s="476"/>
      <c r="N38" s="476"/>
      <c r="P38" s="476"/>
    </row>
    <row r="39" spans="1:25" x14ac:dyDescent="0.25">
      <c r="A39" s="278" t="s">
        <v>168</v>
      </c>
      <c r="B39" s="227"/>
      <c r="C39" s="275">
        <v>15.5</v>
      </c>
      <c r="D39" s="275">
        <v>6.3</v>
      </c>
      <c r="E39" s="275">
        <v>0.5</v>
      </c>
      <c r="F39" s="277">
        <v>1.8</v>
      </c>
      <c r="G39" s="277">
        <v>4.4000000000000004</v>
      </c>
      <c r="H39" s="277">
        <v>7.7</v>
      </c>
      <c r="I39" s="277">
        <v>9.6</v>
      </c>
      <c r="J39" s="476">
        <v>3.2</v>
      </c>
      <c r="K39" s="476">
        <v>4.8</v>
      </c>
      <c r="L39" s="476">
        <v>1.6</v>
      </c>
      <c r="M39" s="476"/>
      <c r="N39" s="476"/>
      <c r="P39" s="476"/>
    </row>
    <row r="40" spans="1:25" ht="12" customHeight="1" x14ac:dyDescent="0.25">
      <c r="A40" s="278" t="s">
        <v>169</v>
      </c>
      <c r="B40" s="229"/>
      <c r="C40" s="277">
        <v>89.5</v>
      </c>
      <c r="D40" s="277">
        <v>47.8</v>
      </c>
      <c r="E40" s="277">
        <v>93.2</v>
      </c>
      <c r="F40" s="277">
        <v>86.2</v>
      </c>
      <c r="G40" s="277">
        <v>85.1</v>
      </c>
      <c r="H40" s="277">
        <v>38.1</v>
      </c>
      <c r="I40" s="277">
        <v>43.9</v>
      </c>
      <c r="J40" s="476">
        <v>0</v>
      </c>
      <c r="K40" s="476">
        <v>0.2</v>
      </c>
      <c r="L40" s="476">
        <v>0</v>
      </c>
      <c r="M40" s="476"/>
      <c r="N40" s="476"/>
      <c r="P40" s="476"/>
    </row>
    <row r="41" spans="1:25" ht="12" customHeight="1" x14ac:dyDescent="0.25">
      <c r="A41" s="278" t="s">
        <v>170</v>
      </c>
      <c r="B41" s="227"/>
      <c r="C41" s="277">
        <v>18.399999999999999</v>
      </c>
      <c r="D41" s="277">
        <v>0</v>
      </c>
      <c r="E41" s="277">
        <v>0</v>
      </c>
      <c r="F41" s="277">
        <v>0</v>
      </c>
      <c r="G41" s="277">
        <v>0</v>
      </c>
      <c r="H41" s="277">
        <v>0</v>
      </c>
      <c r="I41" s="277">
        <v>0</v>
      </c>
      <c r="J41" s="476">
        <v>0</v>
      </c>
      <c r="K41" s="476">
        <v>0</v>
      </c>
      <c r="L41" s="476">
        <v>0</v>
      </c>
      <c r="M41" s="476"/>
      <c r="N41" s="476"/>
      <c r="P41" s="476"/>
      <c r="V41" s="225"/>
      <c r="X41" s="259"/>
      <c r="Y41" s="259"/>
    </row>
    <row r="42" spans="1:25" ht="12" customHeight="1" x14ac:dyDescent="0.25">
      <c r="A42" s="278" t="s">
        <v>171</v>
      </c>
      <c r="B42" s="227"/>
      <c r="C42" s="277">
        <v>0</v>
      </c>
      <c r="D42" s="277">
        <v>0</v>
      </c>
      <c r="E42" s="277">
        <v>0</v>
      </c>
      <c r="F42" s="277">
        <v>0</v>
      </c>
      <c r="G42" s="277">
        <v>0</v>
      </c>
      <c r="H42" s="277">
        <v>0</v>
      </c>
      <c r="I42" s="277">
        <v>0</v>
      </c>
      <c r="J42" s="476">
        <v>0</v>
      </c>
      <c r="K42" s="476">
        <v>0</v>
      </c>
      <c r="L42" s="476">
        <v>0</v>
      </c>
      <c r="M42" s="476"/>
      <c r="N42" s="476"/>
      <c r="P42" s="476"/>
      <c r="V42" s="225"/>
      <c r="X42" s="259"/>
      <c r="Y42" s="259"/>
    </row>
    <row r="43" spans="1:25" x14ac:dyDescent="0.25">
      <c r="A43" s="278" t="s">
        <v>172</v>
      </c>
      <c r="B43" s="227"/>
      <c r="C43" s="277">
        <v>0.9</v>
      </c>
      <c r="D43" s="277">
        <v>0.8</v>
      </c>
      <c r="E43" s="277">
        <v>0.1</v>
      </c>
      <c r="F43" s="277">
        <v>0.2</v>
      </c>
      <c r="G43" s="277">
        <v>0.2</v>
      </c>
      <c r="H43" s="277">
        <v>0.2</v>
      </c>
      <c r="I43" s="277">
        <v>0.1</v>
      </c>
      <c r="J43" s="476">
        <v>0</v>
      </c>
      <c r="K43" s="476">
        <v>0</v>
      </c>
      <c r="L43" s="476">
        <v>0</v>
      </c>
      <c r="M43" s="476"/>
      <c r="N43" s="476"/>
      <c r="P43" s="476"/>
      <c r="V43" s="225"/>
      <c r="X43" s="259"/>
      <c r="Y43" s="259"/>
    </row>
    <row r="44" spans="1:25" x14ac:dyDescent="0.25">
      <c r="A44" s="278" t="s">
        <v>173</v>
      </c>
      <c r="B44" s="227"/>
      <c r="C44" s="277">
        <v>0</v>
      </c>
      <c r="D44" s="277">
        <v>0</v>
      </c>
      <c r="E44" s="277">
        <v>0</v>
      </c>
      <c r="F44" s="277">
        <v>0</v>
      </c>
      <c r="G44" s="277">
        <v>0</v>
      </c>
      <c r="H44" s="277">
        <v>0</v>
      </c>
      <c r="I44" s="277">
        <v>0</v>
      </c>
      <c r="J44" s="476">
        <v>0</v>
      </c>
      <c r="K44" s="476">
        <v>0</v>
      </c>
      <c r="L44" s="476">
        <v>0</v>
      </c>
      <c r="M44" s="476"/>
      <c r="N44" s="476"/>
      <c r="P44" s="476"/>
      <c r="V44" s="225"/>
      <c r="X44" s="259"/>
      <c r="Y44" s="259"/>
    </row>
    <row r="45" spans="1:25" x14ac:dyDescent="0.25">
      <c r="A45" s="278" t="s">
        <v>174</v>
      </c>
      <c r="B45" s="227"/>
      <c r="C45" s="280">
        <v>8.2999999999999829</v>
      </c>
      <c r="D45" s="280">
        <v>10.599999999999994</v>
      </c>
      <c r="E45" s="280">
        <v>0.40000000000001135</v>
      </c>
      <c r="F45" s="280">
        <v>9.9999999999994316E-2</v>
      </c>
      <c r="G45" s="280">
        <f>G35-SUM(G36:G44)</f>
        <v>47.600000000000009</v>
      </c>
      <c r="H45" s="281">
        <f>H35-SUM(H36:H44)</f>
        <v>0</v>
      </c>
      <c r="I45" s="281">
        <v>0</v>
      </c>
      <c r="J45" s="476">
        <v>0</v>
      </c>
      <c r="K45" s="281">
        <f>K35-SUM(K36:K44)-0.1</f>
        <v>1.4155343563970746E-15</v>
      </c>
      <c r="L45" s="281">
        <f>L35-SUM(L36:L44)</f>
        <v>0</v>
      </c>
      <c r="M45" s="281"/>
      <c r="N45" s="476"/>
      <c r="P45" s="477"/>
      <c r="V45" s="225"/>
      <c r="X45" s="259"/>
      <c r="Y45" s="259"/>
    </row>
    <row r="46" spans="1:25" ht="6.75" customHeight="1" x14ac:dyDescent="0.25">
      <c r="A46" s="283"/>
      <c r="B46" s="227"/>
      <c r="C46" s="277"/>
      <c r="D46" s="277"/>
      <c r="E46" s="277"/>
      <c r="F46" s="277"/>
      <c r="G46" s="277"/>
      <c r="H46" s="277"/>
      <c r="I46" s="277"/>
      <c r="J46" s="476"/>
      <c r="K46" s="476"/>
      <c r="L46" s="476"/>
      <c r="M46" s="476"/>
      <c r="N46" s="476"/>
      <c r="P46" s="476"/>
      <c r="V46" s="225"/>
      <c r="X46" s="259"/>
      <c r="Y46" s="259"/>
    </row>
    <row r="47" spans="1:25" ht="12" customHeight="1" x14ac:dyDescent="0.25">
      <c r="A47" s="274" t="s">
        <v>127</v>
      </c>
      <c r="B47" s="227"/>
      <c r="C47" s="275">
        <v>2110.9</v>
      </c>
      <c r="D47" s="275">
        <v>1811.2</v>
      </c>
      <c r="E47" s="275">
        <v>2176</v>
      </c>
      <c r="F47" s="275">
        <v>2150.6</v>
      </c>
      <c r="G47" s="275">
        <v>2198.1</v>
      </c>
      <c r="H47" s="275">
        <v>2003.4</v>
      </c>
      <c r="I47" s="275">
        <v>2066.9</v>
      </c>
      <c r="J47" s="512">
        <v>2117.4</v>
      </c>
      <c r="K47" s="512">
        <f>387.2+1576.6</f>
        <v>1963.8</v>
      </c>
      <c r="L47" s="512">
        <f>383.1+1605.1</f>
        <v>1988.1999999999998</v>
      </c>
      <c r="M47" s="512"/>
      <c r="N47" s="512"/>
      <c r="P47" s="504"/>
      <c r="V47" s="225"/>
      <c r="X47" s="259"/>
      <c r="Y47" s="259"/>
    </row>
    <row r="48" spans="1:25" ht="12" customHeight="1" x14ac:dyDescent="0.25">
      <c r="A48" s="278" t="s">
        <v>175</v>
      </c>
      <c r="B48" s="227"/>
      <c r="C48" s="277">
        <v>6.3</v>
      </c>
      <c r="D48" s="277">
        <v>6</v>
      </c>
      <c r="E48" s="277">
        <v>6.1</v>
      </c>
      <c r="F48" s="277">
        <v>4.9000000000000004</v>
      </c>
      <c r="G48" s="277">
        <v>4</v>
      </c>
      <c r="H48" s="277">
        <v>4.5</v>
      </c>
      <c r="I48" s="277">
        <v>4.9000000000000004</v>
      </c>
      <c r="J48" s="476">
        <v>5.5</v>
      </c>
      <c r="K48" s="476">
        <v>3.6</v>
      </c>
      <c r="L48" s="476">
        <v>3.2</v>
      </c>
      <c r="M48" s="476"/>
      <c r="N48" s="476"/>
      <c r="P48" s="476"/>
      <c r="V48" s="225"/>
      <c r="X48" s="259"/>
      <c r="Y48" s="259"/>
    </row>
    <row r="49" spans="1:25" ht="12" customHeight="1" x14ac:dyDescent="0.25">
      <c r="A49" s="278" t="s">
        <v>176</v>
      </c>
      <c r="B49" s="227"/>
      <c r="C49" s="277">
        <v>0.1</v>
      </c>
      <c r="D49" s="277">
        <v>0.1</v>
      </c>
      <c r="E49" s="277">
        <v>0.1</v>
      </c>
      <c r="F49" s="277">
        <v>0</v>
      </c>
      <c r="G49" s="277">
        <v>0</v>
      </c>
      <c r="H49" s="277">
        <v>0</v>
      </c>
      <c r="I49" s="277">
        <v>0</v>
      </c>
      <c r="J49" s="476">
        <v>0</v>
      </c>
      <c r="K49" s="476">
        <v>0</v>
      </c>
      <c r="L49" s="476">
        <v>120.2</v>
      </c>
      <c r="M49" s="476"/>
      <c r="N49" s="476"/>
      <c r="P49" s="476"/>
      <c r="V49" s="225"/>
      <c r="X49" s="259"/>
      <c r="Y49" s="259"/>
    </row>
    <row r="50" spans="1:25" ht="12" customHeight="1" x14ac:dyDescent="0.25">
      <c r="A50" s="278" t="s">
        <v>177</v>
      </c>
      <c r="B50" s="227"/>
      <c r="C50" s="275">
        <v>145.80000000000001</v>
      </c>
      <c r="D50" s="275">
        <v>138.6</v>
      </c>
      <c r="E50" s="275">
        <v>139.30000000000001</v>
      </c>
      <c r="F50" s="275">
        <v>151.1</v>
      </c>
      <c r="G50" s="275">
        <v>125.1</v>
      </c>
      <c r="H50" s="277">
        <v>122.9</v>
      </c>
      <c r="I50" s="277">
        <v>137.6</v>
      </c>
      <c r="J50" s="476">
        <v>150.9</v>
      </c>
      <c r="K50" s="476">
        <f>15.9+98.7</f>
        <v>114.60000000000001</v>
      </c>
      <c r="L50" s="476">
        <f>11.1+94.9</f>
        <v>106</v>
      </c>
      <c r="M50" s="476"/>
      <c r="N50" s="476"/>
      <c r="P50" s="476"/>
      <c r="V50" s="225"/>
      <c r="X50" s="259"/>
      <c r="Y50" s="259"/>
    </row>
    <row r="51" spans="1:25" ht="12" customHeight="1" x14ac:dyDescent="0.25">
      <c r="A51" s="278" t="s">
        <v>178</v>
      </c>
      <c r="B51" s="227"/>
      <c r="C51" s="275">
        <v>150.1</v>
      </c>
      <c r="D51" s="275">
        <v>138.9</v>
      </c>
      <c r="E51" s="275">
        <v>285.3</v>
      </c>
      <c r="F51" s="275">
        <v>159.19999999999999</v>
      </c>
      <c r="G51" s="275">
        <v>104.5</v>
      </c>
      <c r="H51" s="277">
        <v>144.4</v>
      </c>
      <c r="I51" s="277">
        <v>150.5</v>
      </c>
      <c r="J51" s="476">
        <v>176.7</v>
      </c>
      <c r="K51" s="476">
        <f>82.8+80.8</f>
        <v>163.6</v>
      </c>
      <c r="L51" s="476">
        <f>9+45.2</f>
        <v>54.2</v>
      </c>
      <c r="M51" s="476"/>
      <c r="N51" s="476"/>
      <c r="P51" s="476"/>
      <c r="V51" s="225"/>
      <c r="X51" s="259"/>
      <c r="Y51" s="259"/>
    </row>
    <row r="52" spans="1:25" ht="12" customHeight="1" x14ac:dyDescent="0.25">
      <c r="A52" s="278" t="s">
        <v>179</v>
      </c>
      <c r="B52" s="227"/>
      <c r="C52" s="275">
        <v>75.3</v>
      </c>
      <c r="D52" s="275">
        <v>63.1</v>
      </c>
      <c r="E52" s="275">
        <v>91.3</v>
      </c>
      <c r="F52" s="275">
        <v>79.400000000000006</v>
      </c>
      <c r="G52" s="275">
        <v>58.8</v>
      </c>
      <c r="H52" s="277">
        <v>66.900000000000006</v>
      </c>
      <c r="I52" s="277">
        <v>76.599999999999994</v>
      </c>
      <c r="J52" s="476">
        <v>47.8</v>
      </c>
      <c r="K52" s="476">
        <f>10.6+37.3</f>
        <v>47.9</v>
      </c>
      <c r="L52" s="476">
        <v>67.2</v>
      </c>
      <c r="M52" s="476"/>
      <c r="N52" s="476"/>
      <c r="P52" s="476"/>
      <c r="V52" s="225"/>
      <c r="X52" s="259"/>
      <c r="Y52" s="259"/>
    </row>
    <row r="53" spans="1:25" ht="12" customHeight="1" x14ac:dyDescent="0.25">
      <c r="A53" s="278" t="s">
        <v>180</v>
      </c>
      <c r="B53" s="227"/>
      <c r="C53" s="277">
        <v>1.7</v>
      </c>
      <c r="D53" s="277">
        <v>7.9</v>
      </c>
      <c r="E53" s="277">
        <v>6.5</v>
      </c>
      <c r="F53" s="277">
        <v>15</v>
      </c>
      <c r="G53" s="277">
        <v>36.6</v>
      </c>
      <c r="H53" s="277">
        <v>15.5</v>
      </c>
      <c r="I53" s="277">
        <v>20.9</v>
      </c>
      <c r="J53" s="476">
        <v>33.5</v>
      </c>
      <c r="K53" s="476">
        <f>0.8+33</f>
        <v>33.799999999999997</v>
      </c>
      <c r="L53" s="476">
        <f>11.4+16.4</f>
        <v>27.799999999999997</v>
      </c>
      <c r="M53" s="476"/>
      <c r="N53" s="476"/>
      <c r="P53" s="476"/>
      <c r="V53" s="225"/>
      <c r="X53" s="259"/>
      <c r="Y53" s="259"/>
    </row>
    <row r="54" spans="1:25" ht="12" customHeight="1" x14ac:dyDescent="0.25">
      <c r="A54" s="278" t="s">
        <v>181</v>
      </c>
      <c r="B54" s="227"/>
      <c r="C54" s="275">
        <v>83.8</v>
      </c>
      <c r="D54" s="275">
        <v>70.099999999999994</v>
      </c>
      <c r="E54" s="275">
        <v>76.400000000000006</v>
      </c>
      <c r="F54" s="275">
        <v>89.6</v>
      </c>
      <c r="G54" s="275">
        <v>67.400000000000006</v>
      </c>
      <c r="H54" s="277">
        <v>71.099999999999994</v>
      </c>
      <c r="I54" s="277">
        <v>70.099999999999994</v>
      </c>
      <c r="J54" s="476">
        <v>80.8</v>
      </c>
      <c r="K54" s="476">
        <f>30.2+51.9</f>
        <v>82.1</v>
      </c>
      <c r="L54" s="476">
        <f>21+28.3</f>
        <v>49.3</v>
      </c>
      <c r="M54" s="476"/>
      <c r="N54" s="476"/>
      <c r="P54" s="476"/>
      <c r="V54" s="225"/>
      <c r="X54" s="259"/>
      <c r="Y54" s="259"/>
    </row>
    <row r="55" spans="1:25" ht="12" customHeight="1" x14ac:dyDescent="0.25">
      <c r="A55" s="278" t="s">
        <v>182</v>
      </c>
      <c r="B55" s="227"/>
      <c r="C55" s="275">
        <v>77.599999999999994</v>
      </c>
      <c r="D55" s="275">
        <v>81.5</v>
      </c>
      <c r="E55" s="275">
        <v>75.3</v>
      </c>
      <c r="F55" s="275">
        <v>113.1</v>
      </c>
      <c r="G55" s="275">
        <v>118.6</v>
      </c>
      <c r="H55" s="277">
        <v>105.4</v>
      </c>
      <c r="I55" s="277">
        <v>103</v>
      </c>
      <c r="J55" s="476">
        <v>99.5</v>
      </c>
      <c r="K55" s="476">
        <f>20.7+74.5</f>
        <v>95.2</v>
      </c>
      <c r="L55" s="476">
        <f>26+51.7</f>
        <v>77.7</v>
      </c>
      <c r="M55" s="476"/>
      <c r="N55" s="476"/>
      <c r="P55" s="476"/>
      <c r="V55" s="225"/>
      <c r="X55" s="259"/>
      <c r="Y55" s="259"/>
    </row>
    <row r="56" spans="1:25" ht="12" customHeight="1" x14ac:dyDescent="0.25">
      <c r="A56" s="278" t="s">
        <v>183</v>
      </c>
      <c r="B56" s="227"/>
      <c r="C56" s="275">
        <v>342</v>
      </c>
      <c r="D56" s="275">
        <v>323.89999999999998</v>
      </c>
      <c r="E56" s="275">
        <v>362.1</v>
      </c>
      <c r="F56" s="275">
        <v>403</v>
      </c>
      <c r="G56" s="275">
        <v>423.7</v>
      </c>
      <c r="H56" s="277">
        <v>421</v>
      </c>
      <c r="I56" s="277">
        <v>418.3</v>
      </c>
      <c r="J56" s="476">
        <v>462.1</v>
      </c>
      <c r="K56" s="476">
        <f>46.1+326.1</f>
        <v>372.20000000000005</v>
      </c>
      <c r="L56" s="476">
        <f>30.8+303</f>
        <v>333.8</v>
      </c>
      <c r="M56" s="476"/>
      <c r="N56" s="476"/>
      <c r="P56" s="476"/>
      <c r="V56" s="225"/>
      <c r="X56" s="259"/>
      <c r="Y56" s="259"/>
    </row>
    <row r="57" spans="1:25" ht="12" customHeight="1" x14ac:dyDescent="0.25">
      <c r="A57" s="278" t="s">
        <v>184</v>
      </c>
      <c r="B57" s="227"/>
      <c r="C57" s="275">
        <v>122.4</v>
      </c>
      <c r="D57" s="275">
        <v>142.4</v>
      </c>
      <c r="E57" s="275">
        <v>132</v>
      </c>
      <c r="F57" s="275">
        <v>151.80000000000001</v>
      </c>
      <c r="G57" s="275">
        <v>152.19999999999999</v>
      </c>
      <c r="H57" s="277">
        <v>161.5</v>
      </c>
      <c r="I57" s="277">
        <v>160.1</v>
      </c>
      <c r="J57" s="476">
        <v>197.3</v>
      </c>
      <c r="K57" s="476">
        <f>26.5+149.5</f>
        <v>176</v>
      </c>
      <c r="L57" s="476">
        <f>9.5+131.9</f>
        <v>141.4</v>
      </c>
      <c r="M57" s="476"/>
      <c r="N57" s="476"/>
      <c r="P57" s="476"/>
      <c r="V57" s="225"/>
      <c r="X57" s="259"/>
      <c r="Y57" s="259"/>
    </row>
    <row r="58" spans="1:25" ht="12" customHeight="1" x14ac:dyDescent="0.25">
      <c r="A58" s="278" t="s">
        <v>185</v>
      </c>
      <c r="B58" s="227"/>
      <c r="C58" s="277">
        <v>1.2</v>
      </c>
      <c r="D58" s="277">
        <v>1.2</v>
      </c>
      <c r="E58" s="277">
        <v>1.2</v>
      </c>
      <c r="F58" s="277">
        <v>1.2</v>
      </c>
      <c r="G58" s="277">
        <v>0.04</v>
      </c>
      <c r="H58" s="277">
        <v>0.7</v>
      </c>
      <c r="I58" s="277">
        <v>0.5</v>
      </c>
      <c r="J58" s="476">
        <v>0.4</v>
      </c>
      <c r="K58" s="476">
        <v>0.3</v>
      </c>
      <c r="L58" s="476">
        <v>0.3</v>
      </c>
      <c r="M58" s="476"/>
      <c r="N58" s="476"/>
      <c r="P58" s="476"/>
      <c r="V58" s="225"/>
      <c r="X58" s="259"/>
      <c r="Y58" s="259"/>
    </row>
    <row r="59" spans="1:25" ht="12" customHeight="1" x14ac:dyDescent="0.25">
      <c r="A59" s="278" t="s">
        <v>186</v>
      </c>
      <c r="B59" s="227"/>
      <c r="C59" s="277">
        <v>2.9</v>
      </c>
      <c r="D59" s="277">
        <v>1.6</v>
      </c>
      <c r="E59" s="277">
        <v>0.5</v>
      </c>
      <c r="F59" s="277">
        <v>0.7</v>
      </c>
      <c r="G59" s="277">
        <v>0.7</v>
      </c>
      <c r="H59" s="277">
        <v>0.8</v>
      </c>
      <c r="I59" s="277">
        <v>0.9</v>
      </c>
      <c r="J59" s="476">
        <v>0.9</v>
      </c>
      <c r="K59" s="476">
        <v>0.7</v>
      </c>
      <c r="L59" s="476">
        <v>0.5</v>
      </c>
      <c r="M59" s="476"/>
      <c r="N59" s="476"/>
      <c r="P59" s="476"/>
      <c r="V59" s="225"/>
      <c r="X59" s="259"/>
      <c r="Y59" s="259"/>
    </row>
    <row r="60" spans="1:25" ht="12" customHeight="1" x14ac:dyDescent="0.25">
      <c r="A60" s="278" t="s">
        <v>187</v>
      </c>
      <c r="B60" s="227"/>
      <c r="C60" s="275">
        <v>749.5</v>
      </c>
      <c r="D60" s="275">
        <v>690.7</v>
      </c>
      <c r="E60" s="275">
        <v>716.7</v>
      </c>
      <c r="F60" s="275">
        <v>618.70000000000005</v>
      </c>
      <c r="G60" s="275">
        <v>709.3</v>
      </c>
      <c r="H60" s="277">
        <v>695.9</v>
      </c>
      <c r="I60" s="277">
        <v>759.1</v>
      </c>
      <c r="J60" s="476">
        <v>698.3</v>
      </c>
      <c r="K60" s="476">
        <f>41.7+588.1</f>
        <v>629.80000000000007</v>
      </c>
      <c r="L60" s="476">
        <f>148.6+527.9</f>
        <v>676.5</v>
      </c>
      <c r="M60" s="476"/>
      <c r="N60" s="476"/>
      <c r="P60" s="476"/>
      <c r="V60" s="225"/>
      <c r="X60" s="259"/>
      <c r="Y60" s="259"/>
    </row>
    <row r="61" spans="1:25" ht="12" customHeight="1" x14ac:dyDescent="0.25">
      <c r="A61" s="278" t="s">
        <v>188</v>
      </c>
      <c r="B61" s="227"/>
      <c r="C61" s="277">
        <v>4.7</v>
      </c>
      <c r="D61" s="277">
        <v>4.5999999999999996</v>
      </c>
      <c r="E61" s="277">
        <v>4.3</v>
      </c>
      <c r="F61" s="277">
        <v>4.0999999999999996</v>
      </c>
      <c r="G61" s="277">
        <v>2.9</v>
      </c>
      <c r="H61" s="277">
        <v>2.9</v>
      </c>
      <c r="I61" s="277">
        <v>2.9</v>
      </c>
      <c r="J61" s="476">
        <v>2.2999999999999998</v>
      </c>
      <c r="K61" s="476">
        <v>1.5</v>
      </c>
      <c r="L61" s="476">
        <v>1</v>
      </c>
      <c r="M61" s="476"/>
      <c r="N61" s="476"/>
      <c r="P61" s="476"/>
      <c r="V61" s="225"/>
      <c r="X61" s="259"/>
      <c r="Y61" s="259"/>
    </row>
    <row r="62" spans="1:25" s="263" customFormat="1" ht="12" customHeight="1" x14ac:dyDescent="0.25">
      <c r="A62" s="278" t="s">
        <v>189</v>
      </c>
      <c r="B62" s="227"/>
      <c r="C62" s="284">
        <v>39.9</v>
      </c>
      <c r="D62" s="284">
        <v>10.3</v>
      </c>
      <c r="E62" s="284">
        <v>2</v>
      </c>
      <c r="F62" s="284">
        <v>0</v>
      </c>
      <c r="G62" s="284">
        <v>6.1</v>
      </c>
      <c r="H62" s="277">
        <v>10</v>
      </c>
      <c r="I62" s="277">
        <v>74.900000000000006</v>
      </c>
      <c r="J62" s="476">
        <v>87</v>
      </c>
      <c r="K62" s="476">
        <f>108.3+60.3</f>
        <v>168.6</v>
      </c>
      <c r="L62" s="476">
        <f>50.7+49</f>
        <v>99.7</v>
      </c>
      <c r="M62" s="476"/>
      <c r="N62" s="476"/>
      <c r="P62" s="476"/>
      <c r="V62" s="285"/>
      <c r="X62" s="285"/>
      <c r="Y62" s="285"/>
    </row>
    <row r="63" spans="1:25" ht="12" customHeight="1" x14ac:dyDescent="0.25">
      <c r="A63" s="278" t="s">
        <v>190</v>
      </c>
      <c r="B63" s="227"/>
      <c r="C63" s="277">
        <v>39.299999999999997</v>
      </c>
      <c r="D63" s="277">
        <v>24.1</v>
      </c>
      <c r="E63" s="277">
        <v>45.8</v>
      </c>
      <c r="F63" s="277">
        <v>67.8</v>
      </c>
      <c r="G63" s="277">
        <v>65.5</v>
      </c>
      <c r="H63" s="277">
        <v>40.6</v>
      </c>
      <c r="I63" s="277">
        <v>53.8</v>
      </c>
      <c r="J63" s="476">
        <v>19.399999999999999</v>
      </c>
      <c r="K63" s="476">
        <f>3.3+15.7</f>
        <v>19</v>
      </c>
      <c r="L63" s="476">
        <f>9.7+5.2</f>
        <v>14.899999999999999</v>
      </c>
      <c r="M63" s="476"/>
      <c r="N63" s="476"/>
      <c r="P63" s="476"/>
      <c r="V63" s="225"/>
      <c r="X63" s="259"/>
      <c r="Y63" s="259"/>
    </row>
    <row r="64" spans="1:25" s="263" customFormat="1" ht="12" customHeight="1" x14ac:dyDescent="0.25">
      <c r="A64" s="286" t="s">
        <v>191</v>
      </c>
      <c r="B64" s="227"/>
      <c r="C64" s="287">
        <v>262.5</v>
      </c>
      <c r="D64" s="287">
        <v>98.9</v>
      </c>
      <c r="E64" s="287">
        <v>223.9</v>
      </c>
      <c r="F64" s="287">
        <v>287.7</v>
      </c>
      <c r="G64" s="287">
        <v>318.89999999999998</v>
      </c>
      <c r="H64" s="277">
        <v>137.6</v>
      </c>
      <c r="I64" s="277">
        <v>31.8</v>
      </c>
      <c r="J64" s="476">
        <v>54.6</v>
      </c>
      <c r="K64" s="476">
        <v>54.6</v>
      </c>
      <c r="L64" s="476">
        <f>55+159</f>
        <v>214</v>
      </c>
      <c r="M64" s="476"/>
      <c r="N64" s="476"/>
      <c r="P64" s="476"/>
      <c r="V64" s="285"/>
      <c r="X64" s="285"/>
      <c r="Y64" s="285"/>
    </row>
    <row r="65" spans="1:28" ht="12" customHeight="1" x14ac:dyDescent="0.25">
      <c r="A65" s="278" t="s">
        <v>192</v>
      </c>
      <c r="B65" s="229"/>
      <c r="C65" s="288">
        <v>5.7999999999997272</v>
      </c>
      <c r="D65" s="288">
        <v>7.3000000000001819</v>
      </c>
      <c r="E65" s="288">
        <v>7.1999999999998181</v>
      </c>
      <c r="F65" s="288">
        <v>3.2999999999997272</v>
      </c>
      <c r="G65" s="288">
        <f>G47-SUM(G48:G64)</f>
        <v>3.7599999999997635</v>
      </c>
      <c r="H65" s="405">
        <f>H47-SUM(H48:H64)</f>
        <v>1.7000000000002728</v>
      </c>
      <c r="I65" s="405">
        <f>I47-SUM(I48:I64)</f>
        <v>1</v>
      </c>
      <c r="J65" s="513">
        <f t="shared" ref="J65" si="5">J47-SUM(J48:J64)</f>
        <v>0.40000000000009095</v>
      </c>
      <c r="K65" s="513">
        <f>K47-SUM(K48:K64)</f>
        <v>0.29999999999995453</v>
      </c>
      <c r="L65" s="513">
        <f t="shared" ref="L65" si="6">L47-SUM(L48:L64)</f>
        <v>0.49999999999977263</v>
      </c>
      <c r="M65" s="513"/>
      <c r="N65" s="513"/>
      <c r="P65" s="479"/>
      <c r="V65" s="289"/>
      <c r="X65" s="289"/>
      <c r="Y65" s="289"/>
      <c r="Z65" s="289"/>
      <c r="AA65" s="289"/>
      <c r="AB65" s="289"/>
    </row>
    <row r="66" spans="1:28" ht="11" customHeight="1" x14ac:dyDescent="0.25">
      <c r="A66" s="278"/>
      <c r="B66" s="229"/>
      <c r="C66" s="273"/>
      <c r="D66" s="273"/>
      <c r="E66" s="273"/>
      <c r="F66" s="273"/>
      <c r="G66" s="273"/>
      <c r="H66" s="273"/>
      <c r="I66" s="273"/>
      <c r="J66" s="474"/>
      <c r="K66" s="474"/>
      <c r="M66" s="474"/>
      <c r="V66" s="225"/>
    </row>
    <row r="67" spans="1:28" s="263" customFormat="1" ht="13.5" customHeight="1" x14ac:dyDescent="0.25">
      <c r="A67" s="290" t="s">
        <v>193</v>
      </c>
      <c r="B67" s="229"/>
      <c r="C67" s="291">
        <v>0</v>
      </c>
      <c r="D67" s="291">
        <v>0</v>
      </c>
      <c r="E67" s="291">
        <v>21.9</v>
      </c>
      <c r="F67" s="291">
        <v>0</v>
      </c>
      <c r="G67" s="291">
        <v>0</v>
      </c>
      <c r="H67" s="291">
        <v>0</v>
      </c>
      <c r="I67" s="291">
        <v>0</v>
      </c>
      <c r="J67" s="480">
        <v>0</v>
      </c>
      <c r="K67" s="480">
        <v>0</v>
      </c>
      <c r="L67" s="480">
        <v>0</v>
      </c>
      <c r="M67" s="480"/>
      <c r="N67" s="480"/>
      <c r="P67" s="480"/>
      <c r="V67" s="292"/>
    </row>
    <row r="68" spans="1:28" ht="6.75" customHeight="1" x14ac:dyDescent="0.25">
      <c r="A68" s="278"/>
      <c r="B68" s="229"/>
      <c r="C68" s="273"/>
      <c r="D68" s="273"/>
      <c r="E68" s="273"/>
      <c r="F68" s="273"/>
      <c r="G68" s="273"/>
      <c r="H68" s="273"/>
      <c r="I68" s="273"/>
      <c r="J68" s="474"/>
      <c r="K68" s="474"/>
      <c r="M68" s="474"/>
      <c r="V68" s="225"/>
    </row>
    <row r="69" spans="1:28" s="484" customFormat="1" ht="13.5" customHeight="1" x14ac:dyDescent="0.25">
      <c r="A69" s="482" t="s">
        <v>137</v>
      </c>
      <c r="B69" s="483"/>
      <c r="C69" s="484">
        <v>3426.7</v>
      </c>
      <c r="D69" s="484">
        <v>3040.7</v>
      </c>
      <c r="E69" s="484">
        <v>3267</v>
      </c>
      <c r="F69" s="484">
        <v>3359.6</v>
      </c>
      <c r="G69" s="484">
        <v>3519.6</v>
      </c>
      <c r="H69" s="484">
        <v>2817.7</v>
      </c>
      <c r="I69" s="484">
        <v>3078.3</v>
      </c>
      <c r="J69" s="484">
        <v>3136.5</v>
      </c>
      <c r="K69" s="484">
        <f>760.2+2228.8</f>
        <v>2989</v>
      </c>
      <c r="L69" s="484">
        <f>718+2088.4</f>
        <v>2806.4</v>
      </c>
      <c r="V69" s="485"/>
    </row>
    <row r="70" spans="1:28" ht="14.4" customHeight="1" x14ac:dyDescent="0.25">
      <c r="A70" s="543" t="s">
        <v>405</v>
      </c>
      <c r="B70" s="544"/>
      <c r="C70" s="544"/>
      <c r="D70" s="544"/>
      <c r="E70" s="544"/>
      <c r="J70" s="474"/>
      <c r="K70" s="474"/>
      <c r="M70" s="474"/>
      <c r="V70" s="225"/>
    </row>
    <row r="71" spans="1:28" ht="11.25" customHeight="1" x14ac:dyDescent="0.3">
      <c r="A71" s="230" t="s">
        <v>194</v>
      </c>
      <c r="J71" s="474"/>
      <c r="K71" s="474"/>
      <c r="M71" s="474"/>
      <c r="V71" s="225"/>
    </row>
    <row r="72" spans="1:28" ht="12" customHeight="1" x14ac:dyDescent="0.3">
      <c r="A72" s="19" t="s">
        <v>438</v>
      </c>
      <c r="J72" s="474"/>
      <c r="K72" s="474"/>
      <c r="M72" s="474"/>
      <c r="V72" s="225"/>
    </row>
    <row r="73" spans="1:28" ht="11.15" customHeight="1" x14ac:dyDescent="0.25">
      <c r="J73" s="474"/>
      <c r="K73" s="474"/>
      <c r="M73" s="474"/>
      <c r="V73" s="225"/>
    </row>
    <row r="74" spans="1:28" x14ac:dyDescent="0.25">
      <c r="J74" s="474"/>
      <c r="K74" s="474"/>
      <c r="M74" s="474"/>
    </row>
    <row r="75" spans="1:28" x14ac:dyDescent="0.25">
      <c r="J75" s="474"/>
      <c r="K75" s="474"/>
      <c r="M75" s="474"/>
      <c r="V75" s="225"/>
    </row>
    <row r="76" spans="1:28" x14ac:dyDescent="0.25">
      <c r="J76" s="474"/>
      <c r="K76" s="474"/>
      <c r="M76" s="474"/>
    </row>
    <row r="77" spans="1:28" x14ac:dyDescent="0.25">
      <c r="J77" s="474"/>
      <c r="K77" s="474"/>
      <c r="M77" s="474"/>
    </row>
    <row r="78" spans="1:28" x14ac:dyDescent="0.25">
      <c r="J78" s="474"/>
      <c r="K78" s="474"/>
      <c r="M78" s="474"/>
    </row>
    <row r="79" spans="1:28" x14ac:dyDescent="0.25">
      <c r="J79" s="474"/>
      <c r="K79" s="474"/>
      <c r="M79" s="474"/>
    </row>
    <row r="80" spans="1:28" x14ac:dyDescent="0.25">
      <c r="J80" s="474"/>
      <c r="K80" s="474"/>
      <c r="M80" s="474"/>
    </row>
    <row r="81" spans="1:21" x14ac:dyDescent="0.25">
      <c r="J81" s="474"/>
      <c r="K81" s="474"/>
      <c r="M81" s="474"/>
    </row>
    <row r="82" spans="1:21" x14ac:dyDescent="0.25">
      <c r="J82" s="474"/>
      <c r="K82" s="474"/>
      <c r="M82" s="474"/>
    </row>
    <row r="83" spans="1:21" x14ac:dyDescent="0.25">
      <c r="J83" s="474"/>
      <c r="K83" s="474"/>
      <c r="M83" s="474"/>
    </row>
    <row r="84" spans="1:21" x14ac:dyDescent="0.25">
      <c r="J84" s="474"/>
      <c r="K84" s="474"/>
      <c r="M84" s="474"/>
    </row>
    <row r="85" spans="1:21" x14ac:dyDescent="0.25">
      <c r="J85" s="474"/>
      <c r="K85" s="474"/>
      <c r="M85" s="474"/>
      <c r="Q85" s="261"/>
      <c r="R85" s="261"/>
      <c r="S85" s="261"/>
      <c r="T85" s="261"/>
      <c r="U85" s="261"/>
    </row>
    <row r="86" spans="1:21" x14ac:dyDescent="0.25">
      <c r="J86" s="474"/>
      <c r="K86" s="474"/>
      <c r="M86" s="474"/>
      <c r="Q86" s="261"/>
      <c r="R86" s="261"/>
      <c r="S86" s="261"/>
      <c r="T86" s="261"/>
      <c r="U86" s="261"/>
    </row>
    <row r="87" spans="1:21" x14ac:dyDescent="0.25">
      <c r="J87" s="474"/>
      <c r="K87" s="474"/>
      <c r="M87" s="474"/>
    </row>
    <row r="88" spans="1:21" x14ac:dyDescent="0.25">
      <c r="J88" s="474"/>
      <c r="K88" s="474"/>
      <c r="M88" s="474"/>
    </row>
    <row r="89" spans="1:21" x14ac:dyDescent="0.25">
      <c r="J89" s="474"/>
      <c r="K89" s="474"/>
      <c r="M89" s="474"/>
    </row>
    <row r="90" spans="1:21" x14ac:dyDescent="0.25">
      <c r="A90" s="259"/>
      <c r="B90" s="259"/>
      <c r="C90" s="259"/>
      <c r="D90" s="259"/>
      <c r="E90" s="259"/>
      <c r="F90" s="259"/>
      <c r="G90" s="259"/>
      <c r="H90" s="259"/>
      <c r="I90" s="259"/>
      <c r="J90" s="481"/>
      <c r="K90" s="481"/>
      <c r="L90" s="481"/>
      <c r="M90" s="481"/>
      <c r="N90" s="481"/>
      <c r="P90" s="481"/>
    </row>
    <row r="91" spans="1:21" x14ac:dyDescent="0.25">
      <c r="A91" s="259"/>
      <c r="B91" s="259"/>
      <c r="C91" s="259"/>
      <c r="D91" s="259"/>
      <c r="E91" s="259"/>
      <c r="F91" s="259"/>
      <c r="G91" s="259"/>
      <c r="H91" s="259"/>
      <c r="I91" s="259"/>
      <c r="J91" s="481"/>
      <c r="K91" s="481"/>
      <c r="L91" s="481"/>
      <c r="M91" s="481"/>
      <c r="N91" s="481"/>
      <c r="P91" s="481"/>
    </row>
    <row r="92" spans="1:21" x14ac:dyDescent="0.25">
      <c r="A92" s="259"/>
      <c r="B92" s="261"/>
      <c r="C92" s="261"/>
      <c r="D92" s="261"/>
      <c r="E92" s="261"/>
      <c r="F92" s="261"/>
      <c r="G92" s="261"/>
      <c r="H92" s="261"/>
      <c r="I92" s="261"/>
      <c r="J92" s="481"/>
      <c r="K92" s="481"/>
      <c r="L92" s="481"/>
      <c r="M92" s="481"/>
      <c r="N92" s="481"/>
      <c r="P92" s="481"/>
    </row>
    <row r="93" spans="1:21" x14ac:dyDescent="0.25">
      <c r="J93" s="474"/>
      <c r="K93" s="474"/>
      <c r="M93" s="474"/>
    </row>
    <row r="94" spans="1:21" x14ac:dyDescent="0.25">
      <c r="J94" s="474"/>
      <c r="K94" s="474"/>
      <c r="M94" s="474"/>
    </row>
    <row r="95" spans="1:21" x14ac:dyDescent="0.25">
      <c r="J95" s="474"/>
      <c r="K95" s="474"/>
      <c r="M95" s="474"/>
    </row>
    <row r="96" spans="1:21" x14ac:dyDescent="0.25">
      <c r="J96" s="474"/>
      <c r="K96" s="474"/>
      <c r="M96" s="474"/>
    </row>
    <row r="97" spans="10:13" x14ac:dyDescent="0.25">
      <c r="J97" s="474"/>
      <c r="K97" s="474"/>
      <c r="M97" s="474"/>
    </row>
    <row r="98" spans="10:13" x14ac:dyDescent="0.25">
      <c r="J98" s="474"/>
      <c r="K98" s="474"/>
      <c r="M98" s="474"/>
    </row>
    <row r="99" spans="10:13" x14ac:dyDescent="0.25">
      <c r="J99" s="474"/>
      <c r="K99" s="474"/>
      <c r="M99" s="474"/>
    </row>
    <row r="100" spans="10:13" x14ac:dyDescent="0.25">
      <c r="J100" s="474"/>
      <c r="K100" s="474"/>
      <c r="M100" s="474"/>
    </row>
    <row r="101" spans="10:13" x14ac:dyDescent="0.25">
      <c r="J101" s="474"/>
      <c r="K101" s="474"/>
      <c r="M101" s="474"/>
    </row>
    <row r="102" spans="10:13" x14ac:dyDescent="0.25">
      <c r="J102" s="474"/>
      <c r="K102" s="474"/>
      <c r="M102" s="474"/>
    </row>
    <row r="103" spans="10:13" x14ac:dyDescent="0.25">
      <c r="J103" s="474"/>
      <c r="K103" s="474"/>
      <c r="M103" s="474"/>
    </row>
    <row r="104" spans="10:13" x14ac:dyDescent="0.25">
      <c r="J104" s="474"/>
      <c r="K104" s="474"/>
      <c r="M104" s="474"/>
    </row>
    <row r="105" spans="10:13" x14ac:dyDescent="0.25">
      <c r="J105" s="474"/>
      <c r="K105" s="474"/>
      <c r="M105" s="474"/>
    </row>
    <row r="106" spans="10:13" x14ac:dyDescent="0.25">
      <c r="J106" s="474"/>
      <c r="K106" s="474"/>
      <c r="M106" s="474"/>
    </row>
    <row r="107" spans="10:13" x14ac:dyDescent="0.25">
      <c r="J107" s="474"/>
      <c r="K107" s="474"/>
      <c r="M107" s="474"/>
    </row>
    <row r="108" spans="10:13" x14ac:dyDescent="0.25">
      <c r="J108" s="474"/>
      <c r="K108" s="474"/>
      <c r="M108" s="474"/>
    </row>
    <row r="109" spans="10:13" x14ac:dyDescent="0.25">
      <c r="J109" s="474"/>
      <c r="K109" s="474"/>
      <c r="M109" s="474"/>
    </row>
    <row r="110" spans="10:13" x14ac:dyDescent="0.25">
      <c r="J110" s="474"/>
      <c r="K110" s="474"/>
      <c r="M110" s="474"/>
    </row>
    <row r="111" spans="10:13" x14ac:dyDescent="0.25">
      <c r="J111" s="474"/>
      <c r="K111" s="474"/>
      <c r="M111" s="474"/>
    </row>
    <row r="112" spans="10:13" x14ac:dyDescent="0.25">
      <c r="J112" s="474"/>
      <c r="K112" s="474"/>
      <c r="M112" s="474"/>
    </row>
    <row r="113" spans="10:13" x14ac:dyDescent="0.25">
      <c r="J113" s="474"/>
      <c r="K113" s="474"/>
      <c r="M113" s="474"/>
    </row>
    <row r="114" spans="10:13" x14ac:dyDescent="0.25">
      <c r="J114" s="474"/>
      <c r="K114" s="474"/>
      <c r="M114" s="474"/>
    </row>
    <row r="115" spans="10:13" x14ac:dyDescent="0.25">
      <c r="J115" s="474"/>
      <c r="K115" s="474"/>
      <c r="M115" s="474"/>
    </row>
    <row r="116" spans="10:13" x14ac:dyDescent="0.25">
      <c r="J116" s="474"/>
      <c r="K116" s="474"/>
      <c r="M116" s="474"/>
    </row>
    <row r="117" spans="10:13" x14ac:dyDescent="0.25">
      <c r="J117" s="474"/>
      <c r="K117" s="474"/>
      <c r="M117" s="474"/>
    </row>
    <row r="118" spans="10:13" x14ac:dyDescent="0.25">
      <c r="J118" s="474"/>
      <c r="K118" s="474"/>
      <c r="M118" s="474"/>
    </row>
    <row r="119" spans="10:13" x14ac:dyDescent="0.25">
      <c r="J119" s="474"/>
      <c r="K119" s="474"/>
      <c r="M119" s="474"/>
    </row>
    <row r="120" spans="10:13" x14ac:dyDescent="0.25">
      <c r="J120" s="474"/>
      <c r="K120" s="474"/>
      <c r="M120" s="474"/>
    </row>
    <row r="121" spans="10:13" x14ac:dyDescent="0.25">
      <c r="J121" s="474"/>
      <c r="K121" s="474"/>
      <c r="M121" s="474"/>
    </row>
    <row r="122" spans="10:13" x14ac:dyDescent="0.25">
      <c r="J122" s="474"/>
      <c r="K122" s="474"/>
      <c r="M122" s="474"/>
    </row>
    <row r="123" spans="10:13" x14ac:dyDescent="0.25">
      <c r="J123" s="474"/>
      <c r="K123" s="474"/>
      <c r="M123" s="474"/>
    </row>
    <row r="124" spans="10:13" x14ac:dyDescent="0.25">
      <c r="J124" s="474"/>
      <c r="K124" s="474"/>
      <c r="M124" s="474"/>
    </row>
    <row r="125" spans="10:13" x14ac:dyDescent="0.25">
      <c r="J125" s="474"/>
      <c r="K125" s="474"/>
      <c r="M125" s="474"/>
    </row>
    <row r="126" spans="10:13" x14ac:dyDescent="0.25">
      <c r="J126" s="474"/>
      <c r="K126" s="474"/>
      <c r="M126" s="474"/>
    </row>
    <row r="127" spans="10:13" x14ac:dyDescent="0.25">
      <c r="J127" s="474"/>
      <c r="K127" s="474"/>
      <c r="M127" s="474"/>
    </row>
    <row r="128" spans="10:13" x14ac:dyDescent="0.25">
      <c r="J128" s="474"/>
      <c r="K128" s="474"/>
      <c r="M128" s="474"/>
    </row>
    <row r="129" spans="10:21" x14ac:dyDescent="0.25">
      <c r="J129" s="474"/>
      <c r="K129" s="474"/>
      <c r="M129" s="474"/>
    </row>
    <row r="130" spans="10:21" x14ac:dyDescent="0.25">
      <c r="J130" s="474"/>
      <c r="K130" s="474"/>
      <c r="M130" s="474"/>
    </row>
    <row r="131" spans="10:21" x14ac:dyDescent="0.25">
      <c r="J131" s="474"/>
      <c r="K131" s="474"/>
      <c r="M131" s="474"/>
    </row>
    <row r="132" spans="10:21" x14ac:dyDescent="0.25">
      <c r="J132" s="474"/>
      <c r="K132" s="474"/>
      <c r="M132" s="474"/>
    </row>
    <row r="133" spans="10:21" x14ac:dyDescent="0.25">
      <c r="J133" s="474"/>
      <c r="K133" s="474"/>
      <c r="M133" s="474"/>
    </row>
    <row r="134" spans="10:21" x14ac:dyDescent="0.25">
      <c r="J134" s="474"/>
      <c r="K134" s="474"/>
      <c r="M134" s="474"/>
    </row>
    <row r="135" spans="10:21" x14ac:dyDescent="0.25">
      <c r="J135" s="474"/>
      <c r="K135" s="474"/>
      <c r="M135" s="474"/>
    </row>
    <row r="136" spans="10:21" x14ac:dyDescent="0.25">
      <c r="J136" s="474"/>
      <c r="K136" s="474"/>
      <c r="M136" s="474"/>
    </row>
    <row r="137" spans="10:21" x14ac:dyDescent="0.25">
      <c r="J137" s="474"/>
      <c r="K137" s="474"/>
      <c r="M137" s="474"/>
    </row>
    <row r="138" spans="10:21" x14ac:dyDescent="0.25">
      <c r="J138" s="474"/>
      <c r="K138" s="474"/>
      <c r="M138" s="474"/>
    </row>
    <row r="139" spans="10:21" x14ac:dyDescent="0.25">
      <c r="J139" s="474"/>
      <c r="K139" s="474"/>
      <c r="M139" s="474"/>
    </row>
    <row r="140" spans="10:21" x14ac:dyDescent="0.25">
      <c r="J140" s="474"/>
      <c r="K140" s="474"/>
      <c r="M140" s="474"/>
    </row>
    <row r="141" spans="10:21" x14ac:dyDescent="0.25">
      <c r="J141" s="474"/>
      <c r="K141" s="474"/>
      <c r="M141" s="474"/>
      <c r="Q141" s="261"/>
      <c r="R141" s="261"/>
      <c r="S141" s="261"/>
      <c r="T141" s="261"/>
      <c r="U141" s="261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9" transitionEvaluation="1">
    <pageSetUpPr fitToPage="1"/>
  </sheetPr>
  <dimension ref="A1:Z202"/>
  <sheetViews>
    <sheetView showGridLines="0" zoomScale="130" zoomScaleNormal="130" workbookViewId="0">
      <pane xSplit="1" ySplit="6" topLeftCell="B99" activePane="bottomRight" state="frozen"/>
      <selection pane="topRight" activeCell="B1" sqref="B1"/>
      <selection pane="bottomLeft" activeCell="A7" sqref="A7"/>
      <selection pane="bottomRight" activeCell="A111" sqref="A111"/>
    </sheetView>
  </sheetViews>
  <sheetFormatPr defaultColWidth="9.6640625" defaultRowHeight="11.5" x14ac:dyDescent="0.25"/>
  <cols>
    <col min="1" max="1" width="16.25" style="533" customWidth="1"/>
    <col min="2" max="3" width="12" style="293" customWidth="1"/>
    <col min="4" max="4" width="1.75" style="293" customWidth="1"/>
    <col min="5" max="5" width="12.25" style="295" customWidth="1"/>
    <col min="6" max="6" width="1.6640625" style="293" customWidth="1"/>
    <col min="7" max="7" width="10.33203125" style="293" customWidth="1"/>
    <col min="8" max="8" width="11" style="294" customWidth="1"/>
    <col min="9" max="10" width="9.58203125" style="293" customWidth="1"/>
    <col min="11" max="11" width="10.58203125" style="293" customWidth="1"/>
    <col min="12" max="12" width="1.33203125" style="293" customWidth="1"/>
    <col min="13" max="13" width="10.58203125" style="293" customWidth="1"/>
    <col min="14" max="16384" width="9.6640625" style="293"/>
  </cols>
  <sheetData>
    <row r="1" spans="1:26" s="533" customFormat="1" x14ac:dyDescent="0.25">
      <c r="A1" s="534" t="s">
        <v>246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</row>
    <row r="2" spans="1:26" s="307" customFormat="1" ht="12" customHeight="1" x14ac:dyDescent="0.25">
      <c r="A2" s="534"/>
      <c r="B2" s="535"/>
      <c r="C2" s="535" t="s">
        <v>245</v>
      </c>
      <c r="D2" s="535"/>
      <c r="E2" s="535"/>
      <c r="F2" s="535"/>
      <c r="G2" s="535"/>
      <c r="H2" s="535"/>
      <c r="I2" s="535"/>
      <c r="J2" s="535"/>
      <c r="K2" s="535"/>
      <c r="L2" s="535"/>
      <c r="M2" s="535"/>
    </row>
    <row r="3" spans="1:26" s="307" customFormat="1" ht="12" customHeight="1" thickBot="1" x14ac:dyDescent="0.3">
      <c r="A3" s="534" t="s">
        <v>244</v>
      </c>
      <c r="B3" s="535" t="s">
        <v>243</v>
      </c>
      <c r="C3" s="535" t="s">
        <v>243</v>
      </c>
      <c r="D3" s="535"/>
      <c r="E3" s="535" t="s">
        <v>242</v>
      </c>
      <c r="F3" s="535"/>
      <c r="G3" s="536" t="s">
        <v>241</v>
      </c>
      <c r="H3" s="536" t="s">
        <v>240</v>
      </c>
      <c r="I3" s="536"/>
      <c r="J3" s="536"/>
      <c r="K3" s="536"/>
      <c r="L3" s="535"/>
      <c r="M3" s="535" t="s">
        <v>239</v>
      </c>
    </row>
    <row r="4" spans="1:26" s="307" customFormat="1" ht="12" customHeight="1" x14ac:dyDescent="0.25">
      <c r="A4" s="534" t="s">
        <v>238</v>
      </c>
      <c r="B4" s="535" t="s">
        <v>237</v>
      </c>
      <c r="C4" s="535" t="s">
        <v>237</v>
      </c>
      <c r="D4" s="535"/>
      <c r="E4" s="535" t="s">
        <v>236</v>
      </c>
      <c r="F4" s="535"/>
      <c r="G4" s="537">
        <v>1</v>
      </c>
      <c r="H4" s="537">
        <v>0.05</v>
      </c>
      <c r="I4" s="537">
        <v>0.15</v>
      </c>
      <c r="J4" s="537">
        <v>0.25</v>
      </c>
      <c r="K4" s="535" t="s">
        <v>235</v>
      </c>
      <c r="L4" s="535"/>
      <c r="M4" s="537">
        <v>0.05</v>
      </c>
    </row>
    <row r="5" spans="1:26" s="307" customFormat="1" ht="13.5" customHeight="1" x14ac:dyDescent="0.25">
      <c r="A5" s="534" t="s">
        <v>140</v>
      </c>
      <c r="B5" s="535" t="s">
        <v>234</v>
      </c>
      <c r="C5" s="535" t="s">
        <v>233</v>
      </c>
      <c r="D5" s="535"/>
      <c r="E5" s="535" t="s">
        <v>232</v>
      </c>
      <c r="F5" s="535"/>
      <c r="G5" s="535" t="s">
        <v>231</v>
      </c>
      <c r="H5" s="535" t="s">
        <v>230</v>
      </c>
      <c r="I5" s="535" t="s">
        <v>229</v>
      </c>
      <c r="J5" s="535" t="s">
        <v>227</v>
      </c>
      <c r="K5" s="535" t="s">
        <v>228</v>
      </c>
      <c r="L5" s="535"/>
      <c r="M5" s="535" t="s">
        <v>227</v>
      </c>
    </row>
    <row r="6" spans="1:26" ht="3.75" customHeight="1" x14ac:dyDescent="0.25">
      <c r="A6" s="534"/>
      <c r="E6" s="312"/>
      <c r="P6" s="299"/>
    </row>
    <row r="7" spans="1:26" ht="12" customHeight="1" x14ac:dyDescent="0.25">
      <c r="A7" s="534"/>
      <c r="B7" s="314"/>
      <c r="E7" s="312"/>
      <c r="G7" s="313" t="s">
        <v>226</v>
      </c>
      <c r="P7" s="299"/>
      <c r="Z7" s="299"/>
    </row>
    <row r="8" spans="1:26" ht="4.5" customHeight="1" x14ac:dyDescent="0.25">
      <c r="A8" s="534"/>
      <c r="E8" s="312"/>
      <c r="P8" s="299"/>
    </row>
    <row r="9" spans="1:26" ht="12" hidden="1" customHeight="1" x14ac:dyDescent="0.25">
      <c r="A9" s="534" t="s">
        <v>225</v>
      </c>
      <c r="B9" s="297">
        <v>267</v>
      </c>
      <c r="C9" s="297">
        <v>334</v>
      </c>
      <c r="D9" s="297"/>
      <c r="E9" s="301">
        <v>285</v>
      </c>
      <c r="F9" s="297"/>
      <c r="G9" s="297">
        <v>174</v>
      </c>
      <c r="H9" s="297">
        <v>202</v>
      </c>
      <c r="I9" s="297">
        <v>160</v>
      </c>
      <c r="J9" s="297"/>
      <c r="K9" s="297">
        <v>141</v>
      </c>
      <c r="L9" s="297"/>
      <c r="M9" s="297">
        <v>176</v>
      </c>
    </row>
    <row r="10" spans="1:26" s="306" customFormat="1" ht="12.75" customHeight="1" x14ac:dyDescent="0.25">
      <c r="A10" s="534" t="s">
        <v>32</v>
      </c>
      <c r="B10" s="307">
        <v>559.9083333333333</v>
      </c>
      <c r="C10" s="307">
        <v>339.22916666666669</v>
      </c>
      <c r="D10" s="307"/>
      <c r="E10" s="311">
        <v>702.91666666666663</v>
      </c>
      <c r="F10" s="307"/>
      <c r="G10" s="307">
        <v>592</v>
      </c>
      <c r="H10" s="307">
        <v>586.66666666666663</v>
      </c>
      <c r="I10" s="307">
        <v>571</v>
      </c>
      <c r="J10" s="307">
        <v>557</v>
      </c>
      <c r="K10" s="307">
        <v>520.83333333333337</v>
      </c>
      <c r="L10" s="307"/>
      <c r="M10" s="307">
        <v>476.75</v>
      </c>
    </row>
    <row r="11" spans="1:26" s="306" customFormat="1" ht="12.75" customHeight="1" x14ac:dyDescent="0.25">
      <c r="A11" s="534" t="s">
        <v>224</v>
      </c>
      <c r="B11" s="307">
        <v>614.83333333333337</v>
      </c>
      <c r="C11" s="307">
        <v>371.75</v>
      </c>
      <c r="D11" s="307"/>
      <c r="E11" s="311">
        <v>702.75</v>
      </c>
      <c r="F11" s="307"/>
      <c r="G11" s="307">
        <v>564.83333333333337</v>
      </c>
      <c r="H11" s="307">
        <v>568.25</v>
      </c>
      <c r="I11" s="307">
        <v>527.5</v>
      </c>
      <c r="J11" s="307">
        <v>523</v>
      </c>
      <c r="K11" s="307">
        <v>514.66666666666663</v>
      </c>
      <c r="L11" s="307"/>
      <c r="M11" s="307">
        <v>410.16666666666669</v>
      </c>
    </row>
    <row r="12" spans="1:26" s="306" customFormat="1" ht="9.9" customHeight="1" x14ac:dyDescent="0.25">
      <c r="A12" s="534" t="s">
        <v>223</v>
      </c>
      <c r="B12" s="307">
        <v>588.25</v>
      </c>
      <c r="C12" s="307">
        <v>379.66666666666669</v>
      </c>
      <c r="D12" s="307"/>
      <c r="E12" s="307">
        <v>838.18181818181813</v>
      </c>
      <c r="F12" s="307"/>
      <c r="G12" s="307">
        <v>428</v>
      </c>
      <c r="H12" s="307">
        <v>441.16666666666669</v>
      </c>
      <c r="I12" s="307">
        <v>386</v>
      </c>
      <c r="J12" s="307">
        <v>375</v>
      </c>
      <c r="K12" s="307">
        <v>349.16666666666669</v>
      </c>
      <c r="L12" s="307"/>
      <c r="M12" s="307">
        <v>399</v>
      </c>
    </row>
    <row r="13" spans="1:26" s="306" customFormat="1" ht="12.75" customHeight="1" x14ac:dyDescent="0.25">
      <c r="A13" s="534" t="s">
        <v>222</v>
      </c>
      <c r="B13" s="307">
        <v>505.5</v>
      </c>
      <c r="C13" s="307">
        <v>277.75</v>
      </c>
      <c r="D13" s="307"/>
      <c r="E13" s="307">
        <v>911.33333333333337</v>
      </c>
      <c r="F13" s="307"/>
      <c r="G13" s="307">
        <v>419.75</v>
      </c>
      <c r="H13" s="307">
        <v>407.91666666666669</v>
      </c>
      <c r="I13" s="307">
        <v>385.125</v>
      </c>
      <c r="J13" s="307">
        <v>369</v>
      </c>
      <c r="K13" s="307">
        <v>328.16666666666669</v>
      </c>
      <c r="L13" s="307"/>
      <c r="M13" s="307">
        <v>389</v>
      </c>
    </row>
    <row r="14" spans="1:26" s="306" customFormat="1" ht="6.9" customHeight="1" x14ac:dyDescent="0.25">
      <c r="A14" s="534"/>
      <c r="B14" s="307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</row>
    <row r="15" spans="1:26" s="306" customFormat="1" ht="12.75" customHeight="1" x14ac:dyDescent="0.25">
      <c r="A15" s="534" t="s">
        <v>221</v>
      </c>
      <c r="B15" s="307">
        <v>511</v>
      </c>
      <c r="C15" s="307">
        <v>278</v>
      </c>
      <c r="D15" s="307"/>
      <c r="E15" s="307">
        <v>839</v>
      </c>
      <c r="F15" s="307"/>
      <c r="G15" s="307">
        <v>382</v>
      </c>
      <c r="H15" s="307">
        <v>374</v>
      </c>
      <c r="I15" s="307">
        <v>358</v>
      </c>
      <c r="J15" s="307">
        <v>350</v>
      </c>
      <c r="K15" s="307">
        <v>324</v>
      </c>
      <c r="L15" s="307"/>
      <c r="M15" s="307">
        <v>340</v>
      </c>
    </row>
    <row r="16" spans="1:26" s="306" customFormat="1" ht="12.75" customHeight="1" x14ac:dyDescent="0.25">
      <c r="A16" s="534" t="s">
        <v>220</v>
      </c>
      <c r="B16" s="307">
        <v>565</v>
      </c>
      <c r="C16" s="307">
        <v>311</v>
      </c>
      <c r="D16" s="307"/>
      <c r="E16" s="307">
        <v>835</v>
      </c>
      <c r="F16" s="307"/>
      <c r="G16" s="307">
        <v>366</v>
      </c>
      <c r="H16" s="307">
        <v>356</v>
      </c>
      <c r="I16" s="307">
        <v>341</v>
      </c>
      <c r="J16" s="307">
        <v>339</v>
      </c>
      <c r="K16" s="307">
        <v>318</v>
      </c>
      <c r="L16" s="307"/>
      <c r="M16" s="307">
        <v>329</v>
      </c>
    </row>
    <row r="17" spans="1:13" s="306" customFormat="1" ht="12.75" customHeight="1" x14ac:dyDescent="0.25">
      <c r="A17" s="534" t="s">
        <v>219</v>
      </c>
      <c r="B17" s="307">
        <v>576</v>
      </c>
      <c r="C17" s="307">
        <v>313</v>
      </c>
      <c r="D17" s="307"/>
      <c r="E17" s="307">
        <v>835</v>
      </c>
      <c r="F17" s="307"/>
      <c r="G17" s="307">
        <v>373</v>
      </c>
      <c r="H17" s="307">
        <v>362</v>
      </c>
      <c r="I17" s="307">
        <v>355</v>
      </c>
      <c r="J17" s="308" t="s">
        <v>198</v>
      </c>
      <c r="K17" s="308" t="s">
        <v>198</v>
      </c>
      <c r="L17" s="307"/>
      <c r="M17" s="307">
        <v>364</v>
      </c>
    </row>
    <row r="18" spans="1:13" s="306" customFormat="1" ht="12.75" customHeight="1" x14ac:dyDescent="0.25">
      <c r="A18" s="534" t="s">
        <v>218</v>
      </c>
      <c r="B18" s="307">
        <v>549</v>
      </c>
      <c r="C18" s="307">
        <v>295</v>
      </c>
      <c r="D18" s="307"/>
      <c r="E18" s="307">
        <v>825</v>
      </c>
      <c r="F18" s="307"/>
      <c r="G18" s="307">
        <v>371</v>
      </c>
      <c r="H18" s="307">
        <v>358</v>
      </c>
      <c r="I18" s="307">
        <v>350</v>
      </c>
      <c r="J18" s="308" t="s">
        <v>198</v>
      </c>
      <c r="K18" s="308" t="s">
        <v>198</v>
      </c>
      <c r="L18" s="307"/>
      <c r="M18" s="307">
        <v>376</v>
      </c>
    </row>
    <row r="19" spans="1:13" s="306" customFormat="1" ht="12.75" customHeight="1" x14ac:dyDescent="0.25">
      <c r="A19" s="534" t="s">
        <v>217</v>
      </c>
      <c r="B19" s="310">
        <v>517</v>
      </c>
      <c r="C19" s="307">
        <v>280</v>
      </c>
      <c r="D19" s="307"/>
      <c r="E19" s="307">
        <v>802</v>
      </c>
      <c r="F19" s="307"/>
      <c r="G19" s="307">
        <v>365</v>
      </c>
      <c r="H19" s="307">
        <v>354</v>
      </c>
      <c r="I19" s="307">
        <v>342</v>
      </c>
      <c r="J19" s="308" t="s">
        <v>198</v>
      </c>
      <c r="K19" s="308" t="s">
        <v>198</v>
      </c>
      <c r="L19" s="307"/>
      <c r="M19" s="307">
        <v>377</v>
      </c>
    </row>
    <row r="20" spans="1:13" s="306" customFormat="1" ht="12.75" customHeight="1" x14ac:dyDescent="0.25">
      <c r="A20" s="534" t="s">
        <v>216</v>
      </c>
      <c r="B20" s="307">
        <v>498</v>
      </c>
      <c r="C20" s="307">
        <v>283</v>
      </c>
      <c r="D20" s="307"/>
      <c r="E20" s="307">
        <v>790</v>
      </c>
      <c r="F20" s="307"/>
      <c r="G20" s="307">
        <v>371</v>
      </c>
      <c r="H20" s="307">
        <v>360</v>
      </c>
      <c r="I20" s="307">
        <v>350</v>
      </c>
      <c r="J20" s="308" t="s">
        <v>198</v>
      </c>
      <c r="K20" s="308" t="s">
        <v>198</v>
      </c>
      <c r="L20" s="307"/>
      <c r="M20" s="307">
        <v>359</v>
      </c>
    </row>
    <row r="21" spans="1:13" s="306" customFormat="1" ht="12.75" customHeight="1" x14ac:dyDescent="0.25">
      <c r="A21" s="534" t="s">
        <v>215</v>
      </c>
      <c r="B21" s="307">
        <v>509</v>
      </c>
      <c r="C21" s="307">
        <v>275</v>
      </c>
      <c r="D21" s="307"/>
      <c r="E21" s="307">
        <v>790</v>
      </c>
      <c r="F21" s="307"/>
      <c r="G21" s="307">
        <v>381</v>
      </c>
      <c r="H21" s="307">
        <v>372</v>
      </c>
      <c r="I21" s="307">
        <v>362</v>
      </c>
      <c r="J21" s="308" t="s">
        <v>198</v>
      </c>
      <c r="K21" s="308" t="s">
        <v>198</v>
      </c>
      <c r="L21" s="307"/>
      <c r="M21" s="307">
        <v>354</v>
      </c>
    </row>
    <row r="22" spans="1:13" s="306" customFormat="1" ht="12.75" customHeight="1" x14ac:dyDescent="0.25">
      <c r="A22" s="534" t="s">
        <v>214</v>
      </c>
      <c r="B22" s="307">
        <v>508</v>
      </c>
      <c r="C22" s="307">
        <v>263</v>
      </c>
      <c r="D22" s="307"/>
      <c r="E22" s="307">
        <v>790</v>
      </c>
      <c r="F22" s="307"/>
      <c r="G22" s="307">
        <v>379</v>
      </c>
      <c r="H22" s="307">
        <v>371</v>
      </c>
      <c r="I22" s="307">
        <v>362</v>
      </c>
      <c r="J22" s="308" t="s">
        <v>198</v>
      </c>
      <c r="K22" s="308" t="s">
        <v>198</v>
      </c>
      <c r="L22" s="307"/>
      <c r="M22" s="307">
        <v>381</v>
      </c>
    </row>
    <row r="23" spans="1:13" s="306" customFormat="1" ht="12.75" customHeight="1" x14ac:dyDescent="0.25">
      <c r="A23" s="534" t="s">
        <v>213</v>
      </c>
      <c r="B23" s="307">
        <v>509</v>
      </c>
      <c r="C23" s="307">
        <v>263</v>
      </c>
      <c r="D23" s="307"/>
      <c r="E23" s="307">
        <v>719</v>
      </c>
      <c r="F23" s="307"/>
      <c r="G23" s="307">
        <v>385</v>
      </c>
      <c r="H23" s="307">
        <v>376</v>
      </c>
      <c r="I23" s="307">
        <v>371</v>
      </c>
      <c r="J23" s="308" t="s">
        <v>198</v>
      </c>
      <c r="K23" s="308" t="s">
        <v>198</v>
      </c>
      <c r="L23" s="307"/>
      <c r="M23" s="307">
        <v>374</v>
      </c>
    </row>
    <row r="24" spans="1:13" s="306" customFormat="1" ht="12.75" customHeight="1" x14ac:dyDescent="0.25">
      <c r="A24" s="534" t="s">
        <v>212</v>
      </c>
      <c r="B24" s="307">
        <v>510</v>
      </c>
      <c r="C24" s="307">
        <v>281</v>
      </c>
      <c r="D24" s="307"/>
      <c r="E24" s="307">
        <v>685</v>
      </c>
      <c r="F24" s="307"/>
      <c r="G24" s="307">
        <v>410</v>
      </c>
      <c r="H24" s="307">
        <v>410</v>
      </c>
      <c r="I24" s="307">
        <v>388</v>
      </c>
      <c r="J24" s="308" t="s">
        <v>198</v>
      </c>
      <c r="K24" s="308" t="s">
        <v>198</v>
      </c>
      <c r="L24" s="307"/>
      <c r="M24" s="307">
        <v>376</v>
      </c>
    </row>
    <row r="25" spans="1:13" s="306" customFormat="1" ht="12.75" customHeight="1" x14ac:dyDescent="0.25">
      <c r="A25" s="534" t="s">
        <v>211</v>
      </c>
      <c r="B25" s="307">
        <v>510</v>
      </c>
      <c r="C25" s="307">
        <v>290</v>
      </c>
      <c r="D25" s="307"/>
      <c r="E25" s="307">
        <v>650</v>
      </c>
      <c r="F25" s="307"/>
      <c r="G25" s="307">
        <v>418</v>
      </c>
      <c r="H25" s="307">
        <v>422</v>
      </c>
      <c r="I25" s="308">
        <v>406</v>
      </c>
      <c r="J25" s="308">
        <v>393</v>
      </c>
      <c r="K25" s="308" t="s">
        <v>198</v>
      </c>
      <c r="L25" s="307"/>
      <c r="M25" s="307">
        <v>374</v>
      </c>
    </row>
    <row r="26" spans="1:13" s="306" customFormat="1" ht="12.75" customHeight="1" x14ac:dyDescent="0.25">
      <c r="A26" s="534" t="s">
        <v>210</v>
      </c>
      <c r="B26" s="307">
        <v>498</v>
      </c>
      <c r="C26" s="307">
        <v>279</v>
      </c>
      <c r="D26" s="307"/>
      <c r="E26" s="307">
        <v>650</v>
      </c>
      <c r="F26" s="307"/>
      <c r="G26" s="307">
        <v>431</v>
      </c>
      <c r="H26" s="307">
        <v>455</v>
      </c>
      <c r="I26" s="308">
        <v>410</v>
      </c>
      <c r="J26" s="308">
        <v>396</v>
      </c>
      <c r="K26" s="308" t="s">
        <v>198</v>
      </c>
      <c r="L26" s="307"/>
      <c r="M26" s="307">
        <v>366</v>
      </c>
    </row>
    <row r="27" spans="1:13" s="306" customFormat="1" ht="5.4" customHeight="1" x14ac:dyDescent="0.25">
      <c r="A27" s="534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</row>
    <row r="28" spans="1:13" s="306" customFormat="1" ht="12.75" customHeight="1" x14ac:dyDescent="0.25">
      <c r="A28" s="534" t="s">
        <v>37</v>
      </c>
      <c r="B28" s="307">
        <f>AVERAGE(B15:B26)</f>
        <v>521.66666666666663</v>
      </c>
      <c r="C28" s="307">
        <f>AVERAGE(C15:C26)</f>
        <v>284.25</v>
      </c>
      <c r="D28" s="307"/>
      <c r="E28" s="307">
        <f>AVERAGE(E15:E26)</f>
        <v>767.5</v>
      </c>
      <c r="F28" s="307"/>
      <c r="G28" s="307">
        <f>AVERAGE(G15:G26)</f>
        <v>386</v>
      </c>
      <c r="H28" s="307">
        <f>AVERAGE(H15:H26)</f>
        <v>380.83333333333331</v>
      </c>
      <c r="I28" s="307">
        <f>AVERAGE(I15:I26)</f>
        <v>366.25</v>
      </c>
      <c r="J28" s="307">
        <v>370</v>
      </c>
      <c r="K28" s="307">
        <f>AVERAGE(K15:K26)</f>
        <v>321</v>
      </c>
      <c r="L28" s="307"/>
      <c r="M28" s="307">
        <f>AVERAGE(M15:M26)</f>
        <v>364.16666666666669</v>
      </c>
    </row>
    <row r="29" spans="1:13" s="306" customFormat="1" ht="5.15" customHeight="1" x14ac:dyDescent="0.25">
      <c r="A29" s="534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</row>
    <row r="30" spans="1:13" s="306" customFormat="1" ht="12.75" customHeight="1" x14ac:dyDescent="0.25">
      <c r="A30" s="534" t="s">
        <v>209</v>
      </c>
      <c r="B30" s="307">
        <v>479</v>
      </c>
      <c r="C30" s="307">
        <v>266</v>
      </c>
      <c r="D30" s="307"/>
      <c r="E30" s="307">
        <v>622</v>
      </c>
      <c r="F30" s="307"/>
      <c r="G30" s="307">
        <v>409</v>
      </c>
      <c r="H30" s="307">
        <v>412</v>
      </c>
      <c r="I30" s="307">
        <v>387</v>
      </c>
      <c r="J30" s="307">
        <v>376</v>
      </c>
      <c r="K30" s="308" t="s">
        <v>198</v>
      </c>
      <c r="L30" s="307"/>
      <c r="M30" s="307">
        <v>350</v>
      </c>
    </row>
    <row r="31" spans="1:13" s="306" customFormat="1" ht="12.9" customHeight="1" x14ac:dyDescent="0.25">
      <c r="A31" s="534" t="s">
        <v>208</v>
      </c>
      <c r="B31" s="307">
        <v>474</v>
      </c>
      <c r="C31" s="307">
        <v>250</v>
      </c>
      <c r="D31" s="307"/>
      <c r="E31" s="307">
        <v>618</v>
      </c>
      <c r="F31" s="307"/>
      <c r="G31" s="307">
        <v>388</v>
      </c>
      <c r="H31" s="307">
        <v>384</v>
      </c>
      <c r="I31" s="307">
        <v>366</v>
      </c>
      <c r="J31" s="307">
        <v>361</v>
      </c>
      <c r="K31" s="308" t="s">
        <v>198</v>
      </c>
      <c r="L31" s="307"/>
      <c r="M31" s="307">
        <v>334</v>
      </c>
    </row>
    <row r="32" spans="1:13" s="306" customFormat="1" ht="12.9" customHeight="1" x14ac:dyDescent="0.25">
      <c r="A32" s="534" t="s">
        <v>207</v>
      </c>
      <c r="B32" s="307">
        <v>470</v>
      </c>
      <c r="C32" s="307">
        <v>256</v>
      </c>
      <c r="D32" s="307"/>
      <c r="E32" s="307">
        <v>621</v>
      </c>
      <c r="F32" s="307"/>
      <c r="G32" s="307">
        <v>373</v>
      </c>
      <c r="H32" s="307">
        <v>367</v>
      </c>
      <c r="I32" s="307">
        <v>351</v>
      </c>
      <c r="J32" s="307">
        <v>329</v>
      </c>
      <c r="K32" s="308" t="s">
        <v>198</v>
      </c>
      <c r="L32" s="307"/>
      <c r="M32" s="307">
        <v>345</v>
      </c>
    </row>
    <row r="33" spans="1:13" s="306" customFormat="1" ht="12.9" customHeight="1" x14ac:dyDescent="0.25">
      <c r="A33" s="534" t="s">
        <v>206</v>
      </c>
      <c r="B33" s="307">
        <v>463</v>
      </c>
      <c r="C33" s="307">
        <v>249</v>
      </c>
      <c r="D33" s="307"/>
      <c r="E33" s="307">
        <v>618</v>
      </c>
      <c r="F33" s="307"/>
      <c r="G33" s="307">
        <v>367</v>
      </c>
      <c r="H33" s="307">
        <v>359</v>
      </c>
      <c r="I33" s="307">
        <v>342</v>
      </c>
      <c r="J33" s="307">
        <v>339</v>
      </c>
      <c r="K33" s="308" t="s">
        <v>198</v>
      </c>
      <c r="L33" s="307"/>
      <c r="M33" s="307">
        <v>346</v>
      </c>
    </row>
    <row r="34" spans="1:13" s="306" customFormat="1" ht="12.9" customHeight="1" x14ac:dyDescent="0.25">
      <c r="A34" s="534" t="s">
        <v>205</v>
      </c>
      <c r="B34" s="307">
        <v>455</v>
      </c>
      <c r="C34" s="307">
        <v>245</v>
      </c>
      <c r="D34" s="307"/>
      <c r="E34" s="307">
        <v>597</v>
      </c>
      <c r="F34" s="307"/>
      <c r="G34" s="307">
        <v>380</v>
      </c>
      <c r="H34" s="307">
        <v>368</v>
      </c>
      <c r="I34" s="307">
        <v>355</v>
      </c>
      <c r="J34" s="307">
        <v>346</v>
      </c>
      <c r="K34" s="308" t="s">
        <v>198</v>
      </c>
      <c r="L34" s="307"/>
      <c r="M34" s="307">
        <v>337</v>
      </c>
    </row>
    <row r="35" spans="1:13" s="306" customFormat="1" ht="12.9" customHeight="1" x14ac:dyDescent="0.25">
      <c r="A35" s="534" t="s">
        <v>204</v>
      </c>
      <c r="B35" s="307">
        <v>453</v>
      </c>
      <c r="C35" s="307">
        <v>244</v>
      </c>
      <c r="D35" s="307"/>
      <c r="E35" s="307">
        <v>575</v>
      </c>
      <c r="F35" s="307"/>
      <c r="G35" s="307">
        <v>382</v>
      </c>
      <c r="H35" s="307">
        <v>373</v>
      </c>
      <c r="I35" s="307">
        <v>355</v>
      </c>
      <c r="J35" s="307">
        <v>346</v>
      </c>
      <c r="K35" s="308" t="s">
        <v>198</v>
      </c>
      <c r="L35" s="307"/>
      <c r="M35" s="307">
        <v>340</v>
      </c>
    </row>
    <row r="36" spans="1:13" s="306" customFormat="1" ht="12.9" customHeight="1" x14ac:dyDescent="0.25">
      <c r="A36" s="534" t="s">
        <v>203</v>
      </c>
      <c r="B36" s="307">
        <v>460</v>
      </c>
      <c r="C36" s="307">
        <v>245</v>
      </c>
      <c r="D36" s="307"/>
      <c r="E36" s="307">
        <v>575</v>
      </c>
      <c r="F36" s="307"/>
      <c r="G36" s="307">
        <v>376</v>
      </c>
      <c r="H36" s="307">
        <v>369</v>
      </c>
      <c r="I36" s="307">
        <v>349</v>
      </c>
      <c r="J36" s="307">
        <v>344</v>
      </c>
      <c r="K36" s="308" t="s">
        <v>198</v>
      </c>
      <c r="L36" s="307"/>
      <c r="M36" s="307">
        <v>353</v>
      </c>
    </row>
    <row r="37" spans="1:13" s="306" customFormat="1" ht="12.9" customHeight="1" x14ac:dyDescent="0.25">
      <c r="A37" s="534" t="s">
        <v>202</v>
      </c>
      <c r="B37" s="307">
        <v>460</v>
      </c>
      <c r="C37" s="307">
        <v>244</v>
      </c>
      <c r="D37" s="307"/>
      <c r="E37" s="307">
        <v>575</v>
      </c>
      <c r="F37" s="307"/>
      <c r="G37" s="307">
        <v>377</v>
      </c>
      <c r="H37" s="307">
        <v>367</v>
      </c>
      <c r="I37" s="307">
        <v>348</v>
      </c>
      <c r="J37" s="307">
        <v>341</v>
      </c>
      <c r="K37" s="308" t="s">
        <v>198</v>
      </c>
      <c r="L37" s="307"/>
      <c r="M37" s="307">
        <v>357</v>
      </c>
    </row>
    <row r="38" spans="1:13" s="306" customFormat="1" ht="12.9" customHeight="1" x14ac:dyDescent="0.25">
      <c r="A38" s="534" t="s">
        <v>201</v>
      </c>
      <c r="B38" s="307">
        <v>465</v>
      </c>
      <c r="C38" s="307">
        <v>241</v>
      </c>
      <c r="D38" s="307"/>
      <c r="E38" s="307">
        <v>591</v>
      </c>
      <c r="F38" s="307"/>
      <c r="G38" s="307">
        <v>384</v>
      </c>
      <c r="H38" s="307">
        <v>375</v>
      </c>
      <c r="I38" s="307">
        <v>356</v>
      </c>
      <c r="J38" s="307">
        <v>346</v>
      </c>
      <c r="K38" s="308" t="s">
        <v>198</v>
      </c>
      <c r="L38" s="307"/>
      <c r="M38" s="307">
        <v>350</v>
      </c>
    </row>
    <row r="39" spans="1:13" s="306" customFormat="1" ht="12.9" customHeight="1" x14ac:dyDescent="0.25">
      <c r="A39" s="534" t="s">
        <v>200</v>
      </c>
      <c r="B39" s="307">
        <v>485</v>
      </c>
      <c r="C39" s="307">
        <v>244</v>
      </c>
      <c r="D39" s="307"/>
      <c r="E39" s="307">
        <v>603</v>
      </c>
      <c r="F39" s="307"/>
      <c r="G39" s="307">
        <v>414</v>
      </c>
      <c r="H39" s="307">
        <v>405</v>
      </c>
      <c r="I39" s="307">
        <v>384</v>
      </c>
      <c r="J39" s="307">
        <v>367</v>
      </c>
      <c r="K39" s="308" t="s">
        <v>198</v>
      </c>
      <c r="L39" s="307"/>
      <c r="M39" s="307">
        <v>360</v>
      </c>
    </row>
    <row r="40" spans="1:13" s="306" customFormat="1" ht="12.9" customHeight="1" x14ac:dyDescent="0.25">
      <c r="A40" s="534" t="s">
        <v>199</v>
      </c>
      <c r="B40" s="308">
        <v>500</v>
      </c>
      <c r="C40" s="308">
        <v>275</v>
      </c>
      <c r="D40" s="308"/>
      <c r="E40" s="308">
        <v>613</v>
      </c>
      <c r="F40" s="307"/>
      <c r="G40" s="307">
        <v>455</v>
      </c>
      <c r="H40" s="307">
        <v>447</v>
      </c>
      <c r="I40" s="307">
        <v>428</v>
      </c>
      <c r="J40" s="307">
        <v>404</v>
      </c>
      <c r="K40" s="308" t="s">
        <v>198</v>
      </c>
      <c r="L40" s="307"/>
      <c r="M40" s="308">
        <v>405</v>
      </c>
    </row>
    <row r="41" spans="1:13" s="306" customFormat="1" ht="12.9" customHeight="1" x14ac:dyDescent="0.25">
      <c r="A41" s="534" t="s">
        <v>327</v>
      </c>
      <c r="B41" s="308">
        <v>514</v>
      </c>
      <c r="C41" s="308">
        <v>284</v>
      </c>
      <c r="D41" s="308"/>
      <c r="E41" s="308">
        <v>725</v>
      </c>
      <c r="F41" s="307"/>
      <c r="G41" s="307">
        <v>424</v>
      </c>
      <c r="H41" s="307">
        <v>418</v>
      </c>
      <c r="I41" s="307">
        <v>394</v>
      </c>
      <c r="J41" s="307">
        <v>378</v>
      </c>
      <c r="K41" s="308" t="s">
        <v>198</v>
      </c>
      <c r="L41" s="307"/>
      <c r="M41" s="308">
        <v>409</v>
      </c>
    </row>
    <row r="42" spans="1:13" s="306" customFormat="1" ht="5.4" customHeight="1" x14ac:dyDescent="0.25">
      <c r="A42" s="534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</row>
    <row r="43" spans="1:13" s="306" customFormat="1" ht="12.75" customHeight="1" x14ac:dyDescent="0.25">
      <c r="A43" s="534" t="s">
        <v>334</v>
      </c>
      <c r="B43" s="307">
        <v>474</v>
      </c>
      <c r="C43" s="307">
        <f>AVERAGE(C30:C41)</f>
        <v>253.58333333333334</v>
      </c>
      <c r="D43" s="307"/>
      <c r="E43" s="307">
        <f>AVERAGE(E30:E41)</f>
        <v>611.08333333333337</v>
      </c>
      <c r="F43" s="307"/>
      <c r="G43" s="307">
        <f>AVERAGE(G30:G41)</f>
        <v>394.08333333333331</v>
      </c>
      <c r="H43" s="307">
        <f>AVERAGE(H30:H41)</f>
        <v>387</v>
      </c>
      <c r="I43" s="307">
        <f>AVERAGE(I30:I41)</f>
        <v>367.91666666666669</v>
      </c>
      <c r="J43" s="307">
        <f>AVERAGE(J30:J41)</f>
        <v>356.41666666666669</v>
      </c>
      <c r="K43" s="308" t="s">
        <v>198</v>
      </c>
      <c r="L43" s="307"/>
      <c r="M43" s="307">
        <f>AVERAGE(M30:M41)</f>
        <v>357.16666666666669</v>
      </c>
    </row>
    <row r="44" spans="1:13" s="306" customFormat="1" ht="3.65" customHeight="1" x14ac:dyDescent="0.25">
      <c r="A44" s="534"/>
      <c r="B44" s="307"/>
      <c r="C44" s="307"/>
      <c r="D44" s="307"/>
      <c r="E44" s="307"/>
      <c r="F44" s="307"/>
      <c r="G44" s="307"/>
      <c r="H44" s="307"/>
      <c r="I44" s="307"/>
      <c r="J44" s="307"/>
      <c r="K44" s="308"/>
      <c r="L44" s="307"/>
      <c r="M44" s="307"/>
    </row>
    <row r="45" spans="1:13" s="306" customFormat="1" ht="12.9" customHeight="1" x14ac:dyDescent="0.25">
      <c r="A45" s="534" t="s">
        <v>335</v>
      </c>
      <c r="B45" s="308">
        <v>543</v>
      </c>
      <c r="C45" s="308">
        <v>300</v>
      </c>
      <c r="D45" s="308"/>
      <c r="E45" s="308">
        <v>725</v>
      </c>
      <c r="F45" s="307"/>
      <c r="G45" s="307">
        <v>406</v>
      </c>
      <c r="H45" s="307">
        <v>405</v>
      </c>
      <c r="I45" s="307">
        <v>373</v>
      </c>
      <c r="J45" s="307">
        <v>359</v>
      </c>
      <c r="K45" s="308" t="s">
        <v>198</v>
      </c>
      <c r="L45" s="307"/>
      <c r="M45" s="308">
        <v>400</v>
      </c>
    </row>
    <row r="46" spans="1:13" s="306" customFormat="1" ht="12.9" customHeight="1" x14ac:dyDescent="0.25">
      <c r="A46" s="534" t="s">
        <v>336</v>
      </c>
      <c r="B46" s="308">
        <v>548</v>
      </c>
      <c r="C46" s="308">
        <v>305</v>
      </c>
      <c r="D46" s="308"/>
      <c r="E46" s="308">
        <v>748</v>
      </c>
      <c r="F46" s="307"/>
      <c r="G46" s="307">
        <v>413</v>
      </c>
      <c r="H46" s="307">
        <v>414</v>
      </c>
      <c r="I46" s="307">
        <v>380</v>
      </c>
      <c r="J46" s="307">
        <v>363</v>
      </c>
      <c r="K46" s="308" t="s">
        <v>198</v>
      </c>
      <c r="L46" s="307"/>
      <c r="M46" s="308">
        <v>389</v>
      </c>
    </row>
    <row r="47" spans="1:13" s="306" customFormat="1" ht="13.5" customHeight="1" x14ac:dyDescent="0.25">
      <c r="A47" s="534" t="s">
        <v>337</v>
      </c>
      <c r="B47" s="308">
        <v>563</v>
      </c>
      <c r="C47" s="308">
        <v>316</v>
      </c>
      <c r="D47" s="308"/>
      <c r="E47" s="308">
        <v>818</v>
      </c>
      <c r="F47" s="307"/>
      <c r="G47" s="307">
        <v>403</v>
      </c>
      <c r="H47" s="307">
        <v>407</v>
      </c>
      <c r="I47" s="307">
        <v>370</v>
      </c>
      <c r="J47" s="307">
        <v>355</v>
      </c>
      <c r="K47" s="308" t="s">
        <v>198</v>
      </c>
      <c r="L47" s="307"/>
      <c r="M47" s="308">
        <v>396</v>
      </c>
    </row>
    <row r="48" spans="1:13" s="306" customFormat="1" ht="13.5" customHeight="1" x14ac:dyDescent="0.25">
      <c r="A48" s="534" t="s">
        <v>338</v>
      </c>
      <c r="B48" s="308">
        <v>565</v>
      </c>
      <c r="C48" s="308">
        <v>315</v>
      </c>
      <c r="D48" s="308"/>
      <c r="E48" s="308">
        <v>848</v>
      </c>
      <c r="F48" s="307"/>
      <c r="G48" s="307">
        <v>404</v>
      </c>
      <c r="H48" s="307">
        <v>405</v>
      </c>
      <c r="I48" s="307">
        <v>374</v>
      </c>
      <c r="J48" s="307">
        <v>359</v>
      </c>
      <c r="K48" s="308" t="s">
        <v>198</v>
      </c>
      <c r="L48" s="307"/>
      <c r="M48" s="308">
        <v>403</v>
      </c>
    </row>
    <row r="49" spans="1:13" s="306" customFormat="1" ht="12" customHeight="1" x14ac:dyDescent="0.25">
      <c r="A49" s="534" t="s">
        <v>339</v>
      </c>
      <c r="B49" s="308">
        <v>573</v>
      </c>
      <c r="C49" s="308">
        <v>315</v>
      </c>
      <c r="D49" s="308"/>
      <c r="E49" s="308">
        <v>848</v>
      </c>
      <c r="F49" s="307"/>
      <c r="G49" s="307">
        <v>410</v>
      </c>
      <c r="H49" s="307">
        <v>408</v>
      </c>
      <c r="I49" s="307">
        <v>383</v>
      </c>
      <c r="J49" s="307">
        <v>366</v>
      </c>
      <c r="K49" s="308" t="s">
        <v>198</v>
      </c>
      <c r="L49" s="307"/>
      <c r="M49" s="308">
        <v>390</v>
      </c>
    </row>
    <row r="50" spans="1:13" s="306" customFormat="1" ht="12" customHeight="1" x14ac:dyDescent="0.25">
      <c r="A50" s="534" t="s">
        <v>340</v>
      </c>
      <c r="B50" s="308">
        <v>585</v>
      </c>
      <c r="C50" s="308">
        <v>297</v>
      </c>
      <c r="D50" s="308"/>
      <c r="E50" s="308">
        <v>868</v>
      </c>
      <c r="F50" s="307"/>
      <c r="G50" s="307">
        <v>433</v>
      </c>
      <c r="H50" s="307">
        <v>429</v>
      </c>
      <c r="I50" s="307">
        <v>413</v>
      </c>
      <c r="J50" s="307">
        <v>408</v>
      </c>
      <c r="K50" s="308" t="s">
        <v>198</v>
      </c>
      <c r="L50" s="307"/>
      <c r="M50" s="308">
        <v>417</v>
      </c>
    </row>
    <row r="51" spans="1:13" s="306" customFormat="1" ht="12" customHeight="1" x14ac:dyDescent="0.25">
      <c r="A51" s="534" t="s">
        <v>341</v>
      </c>
      <c r="B51" s="308">
        <v>590</v>
      </c>
      <c r="C51" s="308">
        <v>300</v>
      </c>
      <c r="D51" s="308"/>
      <c r="E51" s="308">
        <v>885</v>
      </c>
      <c r="F51" s="307"/>
      <c r="G51" s="307">
        <v>422</v>
      </c>
      <c r="H51" s="307">
        <v>414</v>
      </c>
      <c r="I51" s="307">
        <v>394</v>
      </c>
      <c r="J51" s="307">
        <v>386</v>
      </c>
      <c r="K51" s="308" t="s">
        <v>198</v>
      </c>
      <c r="L51" s="307"/>
      <c r="M51" s="308">
        <v>423</v>
      </c>
    </row>
    <row r="52" spans="1:13" s="306" customFormat="1" ht="12" customHeight="1" x14ac:dyDescent="0.25">
      <c r="A52" s="534" t="s">
        <v>342</v>
      </c>
      <c r="B52" s="308">
        <v>593</v>
      </c>
      <c r="C52" s="308">
        <v>311</v>
      </c>
      <c r="D52" s="308"/>
      <c r="E52" s="308">
        <v>903</v>
      </c>
      <c r="F52" s="307"/>
      <c r="G52" s="307">
        <v>420</v>
      </c>
      <c r="H52" s="307">
        <v>411</v>
      </c>
      <c r="I52" s="307">
        <v>396</v>
      </c>
      <c r="J52" s="307">
        <v>392</v>
      </c>
      <c r="K52" s="308" t="s">
        <v>198</v>
      </c>
      <c r="L52" s="307"/>
      <c r="M52" s="308">
        <v>419</v>
      </c>
    </row>
    <row r="53" spans="1:13" s="306" customFormat="1" ht="12" customHeight="1" x14ac:dyDescent="0.25">
      <c r="A53" s="534" t="s">
        <v>343</v>
      </c>
      <c r="B53" s="308">
        <v>590</v>
      </c>
      <c r="C53" s="308">
        <v>325</v>
      </c>
      <c r="D53" s="308"/>
      <c r="E53" s="308">
        <v>932</v>
      </c>
      <c r="F53" s="307"/>
      <c r="G53" s="307">
        <v>442</v>
      </c>
      <c r="H53" s="307">
        <v>432</v>
      </c>
      <c r="I53" s="307">
        <v>425</v>
      </c>
      <c r="J53" s="307">
        <v>423</v>
      </c>
      <c r="K53" s="308" t="s">
        <v>198</v>
      </c>
      <c r="L53" s="307"/>
      <c r="M53" s="308">
        <v>435</v>
      </c>
    </row>
    <row r="54" spans="1:13" s="306" customFormat="1" ht="12" customHeight="1" x14ac:dyDescent="0.25">
      <c r="A54" s="534" t="s">
        <v>331</v>
      </c>
      <c r="B54" s="308">
        <v>620</v>
      </c>
      <c r="C54" s="308">
        <v>324</v>
      </c>
      <c r="D54" s="308"/>
      <c r="E54" s="308">
        <v>948</v>
      </c>
      <c r="F54" s="307"/>
      <c r="G54" s="307">
        <v>448</v>
      </c>
      <c r="H54" s="307">
        <v>433</v>
      </c>
      <c r="I54" s="307">
        <v>432</v>
      </c>
      <c r="J54" s="307">
        <v>430</v>
      </c>
      <c r="K54" s="308" t="s">
        <v>198</v>
      </c>
      <c r="L54" s="307"/>
      <c r="M54" s="308">
        <v>459</v>
      </c>
    </row>
    <row r="55" spans="1:13" s="306" customFormat="1" ht="12" customHeight="1" x14ac:dyDescent="0.25">
      <c r="A55" s="534" t="s">
        <v>333</v>
      </c>
      <c r="B55" s="308">
        <v>620</v>
      </c>
      <c r="C55" s="308">
        <v>325</v>
      </c>
      <c r="D55" s="308"/>
      <c r="E55" s="308">
        <v>948</v>
      </c>
      <c r="F55" s="307"/>
      <c r="G55" s="307">
        <v>426</v>
      </c>
      <c r="H55" s="307">
        <v>412</v>
      </c>
      <c r="I55" s="307">
        <v>408</v>
      </c>
      <c r="J55" s="307">
        <v>406</v>
      </c>
      <c r="K55" s="308" t="s">
        <v>198</v>
      </c>
      <c r="L55" s="307"/>
      <c r="M55" s="308">
        <v>448</v>
      </c>
    </row>
    <row r="56" spans="1:13" s="306" customFormat="1" ht="12" customHeight="1" x14ac:dyDescent="0.25">
      <c r="A56" s="534" t="s">
        <v>344</v>
      </c>
      <c r="B56" s="308">
        <v>615</v>
      </c>
      <c r="C56" s="308">
        <v>323</v>
      </c>
      <c r="D56" s="308"/>
      <c r="E56" s="308">
        <v>948</v>
      </c>
      <c r="F56" s="307"/>
      <c r="G56" s="307">
        <v>393</v>
      </c>
      <c r="H56" s="307">
        <v>378</v>
      </c>
      <c r="I56" s="307">
        <v>374</v>
      </c>
      <c r="J56" s="307">
        <v>372</v>
      </c>
      <c r="K56" s="308" t="s">
        <v>198</v>
      </c>
      <c r="L56" s="307"/>
      <c r="M56" s="308">
        <v>399</v>
      </c>
    </row>
    <row r="57" spans="1:13" s="306" customFormat="1" ht="5.4" customHeight="1" x14ac:dyDescent="0.25">
      <c r="A57" s="534"/>
      <c r="B57" s="308"/>
      <c r="C57" s="308"/>
      <c r="D57" s="308"/>
      <c r="E57" s="308"/>
      <c r="F57" s="307"/>
      <c r="G57" s="307"/>
      <c r="H57" s="307"/>
      <c r="I57" s="307"/>
      <c r="J57" s="307"/>
      <c r="K57" s="308"/>
      <c r="L57" s="307"/>
      <c r="M57" s="308"/>
    </row>
    <row r="58" spans="1:13" s="306" customFormat="1" ht="12.75" customHeight="1" x14ac:dyDescent="0.25">
      <c r="A58" s="534" t="s">
        <v>41</v>
      </c>
      <c r="B58" s="307">
        <f>AVERAGE(B45:B56)</f>
        <v>583.75</v>
      </c>
      <c r="C58" s="307">
        <f>AVERAGE(C45:C56)</f>
        <v>313</v>
      </c>
      <c r="D58" s="307"/>
      <c r="E58" s="307">
        <f>AVERAGE(E45:E56)</f>
        <v>868.25</v>
      </c>
      <c r="F58" s="307"/>
      <c r="G58" s="307">
        <f>AVERAGE(G45:G56)</f>
        <v>418.33333333333331</v>
      </c>
      <c r="H58" s="307">
        <f>AVERAGE(H45:H56)</f>
        <v>412.33333333333331</v>
      </c>
      <c r="I58" s="307">
        <f>AVERAGE(I45:I56)</f>
        <v>393.5</v>
      </c>
      <c r="J58" s="307">
        <f>AVERAGE(J45:J56)</f>
        <v>384.91666666666669</v>
      </c>
      <c r="K58" s="308" t="s">
        <v>198</v>
      </c>
      <c r="L58" s="307"/>
      <c r="M58" s="307">
        <f>AVERAGE(M45:M56)</f>
        <v>414.83333333333331</v>
      </c>
    </row>
    <row r="59" spans="1:13" s="306" customFormat="1" ht="5.4" customHeight="1" x14ac:dyDescent="0.25">
      <c r="A59" s="534"/>
      <c r="B59" s="307"/>
      <c r="C59" s="307"/>
      <c r="D59" s="307"/>
      <c r="E59" s="307"/>
      <c r="F59" s="307"/>
      <c r="G59" s="307"/>
      <c r="H59" s="307"/>
      <c r="I59" s="307"/>
      <c r="J59" s="307"/>
      <c r="K59" s="308"/>
      <c r="L59" s="307"/>
      <c r="M59" s="307"/>
    </row>
    <row r="60" spans="1:13" s="306" customFormat="1" ht="12" customHeight="1" x14ac:dyDescent="0.25">
      <c r="A60" s="534" t="s">
        <v>345</v>
      </c>
      <c r="B60" s="308">
        <v>575</v>
      </c>
      <c r="C60" s="308">
        <v>289</v>
      </c>
      <c r="D60" s="308"/>
      <c r="E60" s="308">
        <v>936</v>
      </c>
      <c r="F60" s="307"/>
      <c r="G60" s="307">
        <v>398</v>
      </c>
      <c r="H60" s="307">
        <v>385</v>
      </c>
      <c r="I60" s="307">
        <v>381</v>
      </c>
      <c r="J60" s="307">
        <v>379</v>
      </c>
      <c r="K60" s="308" t="s">
        <v>198</v>
      </c>
      <c r="L60" s="307"/>
      <c r="M60" s="308">
        <v>396</v>
      </c>
    </row>
    <row r="61" spans="1:13" s="306" customFormat="1" ht="12" customHeight="1" x14ac:dyDescent="0.25">
      <c r="A61" s="534" t="s">
        <v>347</v>
      </c>
      <c r="B61" s="308">
        <v>550</v>
      </c>
      <c r="C61" s="308">
        <v>280</v>
      </c>
      <c r="D61" s="308"/>
      <c r="E61" s="308">
        <v>913</v>
      </c>
      <c r="F61" s="307"/>
      <c r="G61" s="307">
        <v>395</v>
      </c>
      <c r="H61" s="307">
        <v>383</v>
      </c>
      <c r="I61" s="307">
        <v>378</v>
      </c>
      <c r="J61" s="307">
        <v>376</v>
      </c>
      <c r="K61" s="308" t="s">
        <v>198</v>
      </c>
      <c r="L61" s="307"/>
      <c r="M61" s="308">
        <v>396</v>
      </c>
    </row>
    <row r="62" spans="1:13" s="306" customFormat="1" ht="12" customHeight="1" x14ac:dyDescent="0.25">
      <c r="A62" s="534" t="s">
        <v>350</v>
      </c>
      <c r="B62" s="308">
        <v>548</v>
      </c>
      <c r="C62" s="308">
        <v>283</v>
      </c>
      <c r="D62" s="308"/>
      <c r="E62" s="308">
        <v>855</v>
      </c>
      <c r="F62" s="307"/>
      <c r="G62" s="307">
        <v>401</v>
      </c>
      <c r="H62" s="307">
        <v>392</v>
      </c>
      <c r="I62" s="307">
        <v>383</v>
      </c>
      <c r="J62" s="307">
        <v>382</v>
      </c>
      <c r="K62" s="308" t="s">
        <v>198</v>
      </c>
      <c r="L62" s="307"/>
      <c r="M62" s="308">
        <v>409</v>
      </c>
    </row>
    <row r="63" spans="1:13" s="306" customFormat="1" ht="12" customHeight="1" x14ac:dyDescent="0.25">
      <c r="A63" s="534" t="s">
        <v>351</v>
      </c>
      <c r="B63" s="308">
        <v>550</v>
      </c>
      <c r="C63" s="308">
        <v>294</v>
      </c>
      <c r="D63" s="308"/>
      <c r="E63" s="308">
        <v>810</v>
      </c>
      <c r="F63" s="307"/>
      <c r="G63" s="311">
        <v>392</v>
      </c>
      <c r="H63" s="311">
        <v>387</v>
      </c>
      <c r="I63" s="311">
        <v>375</v>
      </c>
      <c r="J63" s="311">
        <v>373</v>
      </c>
      <c r="K63" s="308" t="s">
        <v>198</v>
      </c>
      <c r="L63" s="307"/>
      <c r="M63" s="308">
        <v>413</v>
      </c>
    </row>
    <row r="64" spans="1:13" s="306" customFormat="1" ht="12" customHeight="1" x14ac:dyDescent="0.25">
      <c r="A64" s="534" t="s">
        <v>353</v>
      </c>
      <c r="B64" s="308">
        <v>550</v>
      </c>
      <c r="C64" s="308">
        <v>300</v>
      </c>
      <c r="D64" s="308"/>
      <c r="E64" s="308">
        <v>800</v>
      </c>
      <c r="F64" s="307"/>
      <c r="G64" s="311">
        <v>393</v>
      </c>
      <c r="H64" s="311">
        <v>385</v>
      </c>
      <c r="I64" s="311">
        <v>376</v>
      </c>
      <c r="J64" s="311">
        <v>374</v>
      </c>
      <c r="K64" s="308" t="s">
        <v>198</v>
      </c>
      <c r="L64" s="307"/>
      <c r="M64" s="456">
        <v>396</v>
      </c>
    </row>
    <row r="65" spans="1:13" s="306" customFormat="1" ht="12" customHeight="1" x14ac:dyDescent="0.25">
      <c r="A65" s="534" t="s">
        <v>352</v>
      </c>
      <c r="B65" s="308">
        <v>543</v>
      </c>
      <c r="C65" s="308">
        <v>275</v>
      </c>
      <c r="D65" s="308"/>
      <c r="E65" s="308">
        <v>900</v>
      </c>
      <c r="F65" s="307"/>
      <c r="G65" s="311">
        <v>403</v>
      </c>
      <c r="H65" s="311">
        <v>392</v>
      </c>
      <c r="I65" s="311">
        <v>386</v>
      </c>
      <c r="J65" s="311">
        <v>384</v>
      </c>
      <c r="K65" s="308" t="s">
        <v>198</v>
      </c>
      <c r="L65" s="307"/>
      <c r="M65" s="308">
        <v>359</v>
      </c>
    </row>
    <row r="66" spans="1:13" s="306" customFormat="1" ht="12" customHeight="1" x14ac:dyDescent="0.25">
      <c r="A66" s="534" t="s">
        <v>358</v>
      </c>
      <c r="B66" s="308">
        <v>521</v>
      </c>
      <c r="C66" s="308">
        <v>274</v>
      </c>
      <c r="D66" s="308"/>
      <c r="E66" s="308">
        <v>900</v>
      </c>
      <c r="F66" s="307"/>
      <c r="G66" s="456">
        <v>394</v>
      </c>
      <c r="H66" s="456">
        <v>391</v>
      </c>
      <c r="I66" s="456">
        <v>377</v>
      </c>
      <c r="J66" s="456">
        <v>375</v>
      </c>
      <c r="K66" s="308" t="s">
        <v>198</v>
      </c>
      <c r="L66" s="307"/>
      <c r="M66" s="308">
        <v>344</v>
      </c>
    </row>
    <row r="67" spans="1:13" s="306" customFormat="1" ht="12" customHeight="1" x14ac:dyDescent="0.25">
      <c r="A67" s="534" t="s">
        <v>360</v>
      </c>
      <c r="B67" s="308">
        <v>525</v>
      </c>
      <c r="C67" s="308">
        <v>283</v>
      </c>
      <c r="D67" s="308"/>
      <c r="E67" s="308">
        <v>900</v>
      </c>
      <c r="F67" s="307"/>
      <c r="G67" s="456">
        <v>392</v>
      </c>
      <c r="H67" s="456">
        <v>383</v>
      </c>
      <c r="I67" s="456">
        <v>375</v>
      </c>
      <c r="J67" s="456">
        <v>373</v>
      </c>
      <c r="K67" s="308" t="s">
        <v>198</v>
      </c>
      <c r="L67" s="307"/>
      <c r="M67" s="308">
        <v>349</v>
      </c>
    </row>
    <row r="68" spans="1:13" s="306" customFormat="1" ht="12" customHeight="1" x14ac:dyDescent="0.25">
      <c r="A68" s="534" t="s">
        <v>362</v>
      </c>
      <c r="B68" s="308">
        <v>514</v>
      </c>
      <c r="C68" s="308">
        <v>273</v>
      </c>
      <c r="D68" s="308"/>
      <c r="E68" s="308">
        <v>882</v>
      </c>
      <c r="F68" s="307"/>
      <c r="G68" s="456">
        <v>405</v>
      </c>
      <c r="H68" s="456">
        <v>396</v>
      </c>
      <c r="I68" s="456">
        <v>389</v>
      </c>
      <c r="J68" s="456">
        <v>386</v>
      </c>
      <c r="K68" s="308" t="s">
        <v>198</v>
      </c>
      <c r="L68" s="307"/>
      <c r="M68" s="308">
        <v>362</v>
      </c>
    </row>
    <row r="69" spans="1:13" s="306" customFormat="1" ht="12" customHeight="1" x14ac:dyDescent="0.25">
      <c r="A69" s="534" t="s">
        <v>372</v>
      </c>
      <c r="B69" s="308">
        <v>515</v>
      </c>
      <c r="C69" s="308">
        <v>285</v>
      </c>
      <c r="D69" s="308"/>
      <c r="E69" s="308">
        <v>848</v>
      </c>
      <c r="F69" s="307"/>
      <c r="G69" s="456">
        <v>400</v>
      </c>
      <c r="H69" s="456">
        <v>391</v>
      </c>
      <c r="I69" s="456">
        <v>383</v>
      </c>
      <c r="J69" s="456">
        <v>381</v>
      </c>
      <c r="K69" s="308" t="s">
        <v>198</v>
      </c>
      <c r="L69" s="307"/>
      <c r="M69" s="308">
        <v>371</v>
      </c>
    </row>
    <row r="70" spans="1:13" s="306" customFormat="1" ht="12" customHeight="1" x14ac:dyDescent="0.25">
      <c r="A70" s="534" t="s">
        <v>364</v>
      </c>
      <c r="B70" s="308">
        <v>512</v>
      </c>
      <c r="C70" s="308">
        <v>290</v>
      </c>
      <c r="D70" s="308"/>
      <c r="E70" s="308">
        <v>825</v>
      </c>
      <c r="F70" s="307"/>
      <c r="G70" s="456">
        <v>405</v>
      </c>
      <c r="H70" s="456">
        <v>396</v>
      </c>
      <c r="I70" s="456">
        <v>389</v>
      </c>
      <c r="J70" s="456">
        <v>387</v>
      </c>
      <c r="K70" s="308" t="s">
        <v>198</v>
      </c>
      <c r="L70" s="307"/>
      <c r="M70" s="308">
        <v>375</v>
      </c>
    </row>
    <row r="71" spans="1:13" s="306" customFormat="1" ht="12" customHeight="1" x14ac:dyDescent="0.25">
      <c r="A71" s="534" t="s">
        <v>366</v>
      </c>
      <c r="B71" s="308">
        <v>545</v>
      </c>
      <c r="C71" s="308">
        <v>297</v>
      </c>
      <c r="D71" s="308"/>
      <c r="E71" s="308">
        <v>825</v>
      </c>
      <c r="F71" s="307"/>
      <c r="G71" s="456">
        <v>405</v>
      </c>
      <c r="H71" s="456">
        <v>396</v>
      </c>
      <c r="I71" s="456">
        <v>388</v>
      </c>
      <c r="J71" s="456">
        <v>386</v>
      </c>
      <c r="K71" s="308" t="s">
        <v>198</v>
      </c>
      <c r="L71" s="307"/>
      <c r="M71" s="308">
        <v>377</v>
      </c>
    </row>
    <row r="72" spans="1:13" s="306" customFormat="1" ht="3.9" customHeight="1" x14ac:dyDescent="0.25">
      <c r="A72" s="534"/>
      <c r="B72" s="308"/>
      <c r="C72" s="308"/>
      <c r="D72" s="308"/>
      <c r="E72" s="308"/>
      <c r="F72" s="307"/>
      <c r="G72" s="311"/>
      <c r="H72" s="311"/>
      <c r="I72" s="311"/>
      <c r="J72" s="311"/>
      <c r="K72" s="308"/>
      <c r="L72" s="307"/>
      <c r="M72" s="308"/>
    </row>
    <row r="73" spans="1:13" s="306" customFormat="1" ht="12.75" customHeight="1" x14ac:dyDescent="0.25">
      <c r="A73" s="534" t="s">
        <v>367</v>
      </c>
      <c r="B73" s="307">
        <f>AVERAGE(B60:B71)</f>
        <v>537.33333333333337</v>
      </c>
      <c r="C73" s="307">
        <f t="shared" ref="C73:J73" si="0">AVERAGE(C60:C71)</f>
        <v>285.25</v>
      </c>
      <c r="D73" s="307"/>
      <c r="E73" s="307">
        <f t="shared" si="0"/>
        <v>866.16666666666663</v>
      </c>
      <c r="F73" s="307"/>
      <c r="G73" s="307">
        <f t="shared" si="0"/>
        <v>398.58333333333331</v>
      </c>
      <c r="H73" s="307">
        <v>389</v>
      </c>
      <c r="I73" s="307">
        <f t="shared" si="0"/>
        <v>381.66666666666669</v>
      </c>
      <c r="J73" s="307">
        <f t="shared" si="0"/>
        <v>379.66666666666669</v>
      </c>
      <c r="K73" s="308" t="s">
        <v>198</v>
      </c>
      <c r="L73" s="307"/>
      <c r="M73" s="307">
        <f>AVERAGE(M60:M71)</f>
        <v>378.91666666666669</v>
      </c>
    </row>
    <row r="74" spans="1:13" s="306" customFormat="1" ht="6" customHeight="1" x14ac:dyDescent="0.25">
      <c r="A74" s="534"/>
      <c r="B74" s="307"/>
      <c r="C74" s="307"/>
      <c r="D74" s="307"/>
      <c r="E74" s="307"/>
      <c r="F74" s="307"/>
      <c r="G74" s="307"/>
      <c r="H74" s="307"/>
      <c r="I74" s="307"/>
      <c r="J74" s="307"/>
      <c r="K74" s="308"/>
      <c r="L74" s="307"/>
      <c r="M74" s="307"/>
    </row>
    <row r="75" spans="1:13" s="306" customFormat="1" ht="12.75" customHeight="1" x14ac:dyDescent="0.25">
      <c r="A75" s="534" t="s">
        <v>370</v>
      </c>
      <c r="B75" s="307">
        <v>555</v>
      </c>
      <c r="C75" s="307">
        <v>290</v>
      </c>
      <c r="D75" s="307"/>
      <c r="E75" s="307">
        <v>825</v>
      </c>
      <c r="F75" s="307"/>
      <c r="G75" s="307">
        <v>422</v>
      </c>
      <c r="H75" s="307">
        <v>416</v>
      </c>
      <c r="I75" s="307">
        <v>406</v>
      </c>
      <c r="J75" s="307">
        <v>404</v>
      </c>
      <c r="K75" s="308" t="s">
        <v>198</v>
      </c>
      <c r="L75" s="307"/>
      <c r="M75" s="307">
        <v>344</v>
      </c>
    </row>
    <row r="76" spans="1:13" s="306" customFormat="1" ht="12.75" customHeight="1" x14ac:dyDescent="0.25">
      <c r="A76" s="534" t="s">
        <v>371</v>
      </c>
      <c r="B76" s="307">
        <v>555</v>
      </c>
      <c r="C76" s="307">
        <v>296</v>
      </c>
      <c r="D76" s="307"/>
      <c r="E76" s="307">
        <v>825</v>
      </c>
      <c r="F76" s="307"/>
      <c r="G76" s="307">
        <v>418</v>
      </c>
      <c r="H76" s="307">
        <v>411</v>
      </c>
      <c r="I76" s="307">
        <v>403</v>
      </c>
      <c r="J76" s="307">
        <v>401</v>
      </c>
      <c r="K76" s="308" t="s">
        <v>198</v>
      </c>
      <c r="L76" s="307"/>
      <c r="M76" s="307">
        <v>325</v>
      </c>
    </row>
    <row r="77" spans="1:13" s="306" customFormat="1" ht="12.75" customHeight="1" x14ac:dyDescent="0.25">
      <c r="A77" s="534" t="s">
        <v>374</v>
      </c>
      <c r="B77" s="307">
        <v>559</v>
      </c>
      <c r="C77" s="307">
        <v>295</v>
      </c>
      <c r="D77" s="307"/>
      <c r="E77" s="307">
        <v>814</v>
      </c>
      <c r="F77" s="307"/>
      <c r="G77" s="307">
        <v>407</v>
      </c>
      <c r="H77" s="307">
        <v>396</v>
      </c>
      <c r="I77" s="307">
        <v>391</v>
      </c>
      <c r="J77" s="307">
        <v>388</v>
      </c>
      <c r="K77" s="308" t="s">
        <v>198</v>
      </c>
      <c r="L77" s="307"/>
      <c r="M77" s="307">
        <v>350</v>
      </c>
    </row>
    <row r="78" spans="1:13" s="306" customFormat="1" ht="12.75" customHeight="1" x14ac:dyDescent="0.25">
      <c r="A78" s="534" t="s">
        <v>373</v>
      </c>
      <c r="B78" s="307">
        <v>560</v>
      </c>
      <c r="C78" s="307">
        <v>298</v>
      </c>
      <c r="D78" s="307"/>
      <c r="E78" s="307">
        <v>810</v>
      </c>
      <c r="F78" s="307"/>
      <c r="G78" s="307">
        <v>405</v>
      </c>
      <c r="H78" s="307">
        <v>395</v>
      </c>
      <c r="I78" s="307">
        <v>389</v>
      </c>
      <c r="J78" s="307">
        <v>387</v>
      </c>
      <c r="K78" s="308" t="s">
        <v>198</v>
      </c>
      <c r="L78" s="307"/>
      <c r="M78" s="307">
        <v>348</v>
      </c>
    </row>
    <row r="79" spans="1:13" s="306" customFormat="1" ht="12.75" customHeight="1" x14ac:dyDescent="0.25">
      <c r="A79" s="534" t="s">
        <v>376</v>
      </c>
      <c r="B79" s="307">
        <v>560</v>
      </c>
      <c r="C79" s="307">
        <v>310</v>
      </c>
      <c r="D79" s="307"/>
      <c r="E79" s="307">
        <v>818</v>
      </c>
      <c r="F79" s="307"/>
      <c r="G79" s="307">
        <v>412</v>
      </c>
      <c r="H79" s="307">
        <v>396</v>
      </c>
      <c r="I79" s="307">
        <v>395</v>
      </c>
      <c r="J79" s="307">
        <v>393</v>
      </c>
      <c r="K79" s="308" t="s">
        <v>198</v>
      </c>
      <c r="L79" s="307"/>
      <c r="M79" s="307">
        <v>348</v>
      </c>
    </row>
    <row r="80" spans="1:13" s="306" customFormat="1" ht="12.75" customHeight="1" x14ac:dyDescent="0.25">
      <c r="A80" s="534" t="s">
        <v>378</v>
      </c>
      <c r="B80" s="307">
        <v>588</v>
      </c>
      <c r="C80" s="307">
        <v>326</v>
      </c>
      <c r="D80" s="307"/>
      <c r="E80" s="307">
        <v>825</v>
      </c>
      <c r="F80" s="307"/>
      <c r="G80" s="307">
        <v>439</v>
      </c>
      <c r="H80" s="307">
        <v>424</v>
      </c>
      <c r="I80" s="307">
        <v>423</v>
      </c>
      <c r="J80" s="307">
        <v>421</v>
      </c>
      <c r="K80" s="308" t="s">
        <v>198</v>
      </c>
      <c r="L80" s="307"/>
      <c r="M80" s="307">
        <v>351</v>
      </c>
    </row>
    <row r="81" spans="1:13" s="306" customFormat="1" ht="12.75" customHeight="1" x14ac:dyDescent="0.25">
      <c r="A81" s="534" t="s">
        <v>380</v>
      </c>
      <c r="B81" s="307">
        <v>610</v>
      </c>
      <c r="C81" s="307">
        <v>339</v>
      </c>
      <c r="D81" s="307"/>
      <c r="E81" s="307">
        <v>836</v>
      </c>
      <c r="F81" s="307"/>
      <c r="G81" s="307">
        <v>437</v>
      </c>
      <c r="H81" s="307">
        <v>430</v>
      </c>
      <c r="I81" s="307">
        <v>421</v>
      </c>
      <c r="J81" s="307">
        <v>419</v>
      </c>
      <c r="K81" s="308" t="s">
        <v>198</v>
      </c>
      <c r="L81" s="307"/>
      <c r="M81" s="307">
        <v>358</v>
      </c>
    </row>
    <row r="82" spans="1:13" s="306" customFormat="1" ht="12.75" customHeight="1" x14ac:dyDescent="0.25">
      <c r="A82" s="534" t="s">
        <v>386</v>
      </c>
      <c r="B82" s="307">
        <v>624</v>
      </c>
      <c r="C82" s="307">
        <v>345</v>
      </c>
      <c r="D82" s="307"/>
      <c r="E82" s="307">
        <v>848</v>
      </c>
      <c r="F82" s="307"/>
      <c r="G82" s="307">
        <v>483</v>
      </c>
      <c r="H82" s="307">
        <v>477</v>
      </c>
      <c r="I82" s="307">
        <v>470</v>
      </c>
      <c r="J82" s="307">
        <v>468</v>
      </c>
      <c r="K82" s="308" t="s">
        <v>198</v>
      </c>
      <c r="L82" s="307"/>
      <c r="M82" s="307">
        <v>410</v>
      </c>
    </row>
    <row r="83" spans="1:13" s="306" customFormat="1" ht="13.5" customHeight="1" x14ac:dyDescent="0.25">
      <c r="A83" s="534" t="s">
        <v>393</v>
      </c>
      <c r="B83" s="307">
        <v>671</v>
      </c>
      <c r="C83" s="307">
        <v>388</v>
      </c>
      <c r="D83" s="307"/>
      <c r="E83" s="307">
        <v>899</v>
      </c>
      <c r="F83" s="307"/>
      <c r="G83" s="307">
        <v>564</v>
      </c>
      <c r="H83" s="307">
        <v>549</v>
      </c>
      <c r="I83" s="307">
        <v>548</v>
      </c>
      <c r="J83" s="307">
        <v>546</v>
      </c>
      <c r="K83" s="308" t="s">
        <v>198</v>
      </c>
      <c r="L83" s="307"/>
      <c r="M83" s="307">
        <v>470</v>
      </c>
    </row>
    <row r="84" spans="1:13" s="306" customFormat="1" ht="13.5" customHeight="1" x14ac:dyDescent="0.25">
      <c r="A84" s="534" t="s">
        <v>394</v>
      </c>
      <c r="B84" s="307">
        <v>675</v>
      </c>
      <c r="C84" s="307">
        <v>425</v>
      </c>
      <c r="D84" s="307"/>
      <c r="E84" s="307">
        <v>938</v>
      </c>
      <c r="F84" s="307"/>
      <c r="G84" s="307">
        <v>512</v>
      </c>
      <c r="H84" s="307">
        <v>497</v>
      </c>
      <c r="I84" s="307">
        <v>496</v>
      </c>
      <c r="J84" s="307">
        <v>494</v>
      </c>
      <c r="K84" s="308" t="s">
        <v>198</v>
      </c>
      <c r="L84" s="307"/>
      <c r="M84" s="307">
        <v>470</v>
      </c>
    </row>
    <row r="85" spans="1:13" s="306" customFormat="1" ht="13.5" customHeight="1" x14ac:dyDescent="0.25">
      <c r="A85" s="534" t="s">
        <v>401</v>
      </c>
      <c r="B85" s="307">
        <v>675</v>
      </c>
      <c r="C85" s="307">
        <v>425</v>
      </c>
      <c r="D85" s="307"/>
      <c r="E85" s="307">
        <v>938</v>
      </c>
      <c r="F85" s="307"/>
      <c r="G85" s="307">
        <v>513</v>
      </c>
      <c r="H85" s="307">
        <v>505</v>
      </c>
      <c r="I85" s="307">
        <v>497</v>
      </c>
      <c r="J85" s="307">
        <v>495</v>
      </c>
      <c r="K85" s="308" t="s">
        <v>198</v>
      </c>
      <c r="L85" s="307"/>
      <c r="M85" s="307">
        <v>425</v>
      </c>
    </row>
    <row r="86" spans="1:13" s="306" customFormat="1" ht="13.5" customHeight="1" x14ac:dyDescent="0.25">
      <c r="A86" s="534" t="s">
        <v>406</v>
      </c>
      <c r="B86" s="307">
        <v>675</v>
      </c>
      <c r="C86" s="307">
        <v>425</v>
      </c>
      <c r="D86" s="307"/>
      <c r="E86" s="307">
        <v>921</v>
      </c>
      <c r="F86" s="307"/>
      <c r="G86" s="307">
        <v>467</v>
      </c>
      <c r="H86" s="307">
        <v>460</v>
      </c>
      <c r="I86" s="307">
        <v>457</v>
      </c>
      <c r="J86" s="307">
        <v>449</v>
      </c>
      <c r="K86" s="308" t="s">
        <v>198</v>
      </c>
      <c r="L86" s="307"/>
      <c r="M86" s="307">
        <v>449</v>
      </c>
    </row>
    <row r="87" spans="1:13" s="306" customFormat="1" ht="4.25" customHeight="1" x14ac:dyDescent="0.25">
      <c r="A87" s="534"/>
      <c r="B87" s="307"/>
      <c r="C87" s="307"/>
      <c r="D87" s="307"/>
      <c r="E87" s="307"/>
      <c r="F87" s="307"/>
      <c r="G87" s="307"/>
      <c r="H87" s="307"/>
      <c r="I87" s="307"/>
      <c r="J87" s="307"/>
      <c r="K87" s="308"/>
      <c r="L87" s="307"/>
      <c r="M87" s="307"/>
    </row>
    <row r="88" spans="1:13" s="306" customFormat="1" ht="12.75" customHeight="1" x14ac:dyDescent="0.25">
      <c r="A88" s="534" t="s">
        <v>407</v>
      </c>
      <c r="B88" s="307">
        <f>AVERAGE(B75:B86)</f>
        <v>608.91666666666663</v>
      </c>
      <c r="C88" s="307">
        <f t="shared" ref="C88:J88" si="1">AVERAGE(C75:C86)</f>
        <v>346.83333333333331</v>
      </c>
      <c r="D88" s="307"/>
      <c r="E88" s="307">
        <f t="shared" si="1"/>
        <v>858.08333333333337</v>
      </c>
      <c r="F88" s="307"/>
      <c r="G88" s="307">
        <f t="shared" si="1"/>
        <v>456.58333333333331</v>
      </c>
      <c r="H88" s="307">
        <f t="shared" si="1"/>
        <v>446.33333333333331</v>
      </c>
      <c r="I88" s="307">
        <f t="shared" si="1"/>
        <v>441.33333333333331</v>
      </c>
      <c r="J88" s="307">
        <f t="shared" si="1"/>
        <v>438.75</v>
      </c>
      <c r="K88" s="308" t="s">
        <v>198</v>
      </c>
      <c r="L88" s="307"/>
      <c r="M88" s="307">
        <f>AVERAGE(M75:M86)</f>
        <v>387.33333333333331</v>
      </c>
    </row>
    <row r="89" spans="1:13" s="306" customFormat="1" ht="7.5" customHeight="1" x14ac:dyDescent="0.25">
      <c r="A89" s="534"/>
      <c r="B89" s="307"/>
      <c r="C89" s="307"/>
      <c r="D89" s="307"/>
      <c r="E89" s="307"/>
      <c r="F89" s="307"/>
      <c r="G89" s="307"/>
      <c r="H89" s="307"/>
      <c r="I89" s="307"/>
      <c r="J89" s="307"/>
      <c r="K89" s="308"/>
      <c r="L89" s="307"/>
      <c r="M89" s="307"/>
    </row>
    <row r="90" spans="1:13" s="306" customFormat="1" ht="12.75" customHeight="1" x14ac:dyDescent="0.25">
      <c r="A90" s="534" t="s">
        <v>413</v>
      </c>
      <c r="B90" s="307">
        <v>625</v>
      </c>
      <c r="C90" s="307">
        <v>310</v>
      </c>
      <c r="D90" s="307"/>
      <c r="E90" s="307">
        <v>905</v>
      </c>
      <c r="F90" s="307"/>
      <c r="G90" s="307">
        <v>492</v>
      </c>
      <c r="H90" s="307">
        <v>488</v>
      </c>
      <c r="I90" s="307">
        <v>477</v>
      </c>
      <c r="J90" s="307">
        <v>465</v>
      </c>
      <c r="K90" s="308" t="s">
        <v>198</v>
      </c>
      <c r="L90" s="307"/>
      <c r="M90" s="307">
        <v>485</v>
      </c>
    </row>
    <row r="91" spans="1:13" s="306" customFormat="1" ht="12.75" customHeight="1" x14ac:dyDescent="0.25">
      <c r="A91" s="534" t="s">
        <v>414</v>
      </c>
      <c r="B91" s="307">
        <v>625</v>
      </c>
      <c r="C91" s="307">
        <v>320</v>
      </c>
      <c r="D91" s="307"/>
      <c r="E91" s="307">
        <v>905</v>
      </c>
      <c r="F91" s="307"/>
      <c r="G91" s="307">
        <v>491</v>
      </c>
      <c r="H91" s="307">
        <v>488</v>
      </c>
      <c r="I91" s="307">
        <v>476</v>
      </c>
      <c r="J91" s="307">
        <v>474</v>
      </c>
      <c r="K91" s="308" t="s">
        <v>198</v>
      </c>
      <c r="L91" s="307"/>
      <c r="M91" s="307">
        <v>467</v>
      </c>
    </row>
    <row r="92" spans="1:13" s="306" customFormat="1" ht="12.75" customHeight="1" x14ac:dyDescent="0.25">
      <c r="A92" s="534" t="s">
        <v>416</v>
      </c>
      <c r="B92" s="307">
        <v>625</v>
      </c>
      <c r="C92" s="307">
        <v>320</v>
      </c>
      <c r="D92" s="307"/>
      <c r="E92" s="307">
        <v>846</v>
      </c>
      <c r="F92" s="307"/>
      <c r="G92" s="307">
        <v>461</v>
      </c>
      <c r="H92" s="307">
        <v>457</v>
      </c>
      <c r="I92" s="307">
        <v>446</v>
      </c>
      <c r="J92" s="307">
        <v>445</v>
      </c>
      <c r="K92" s="308" t="s">
        <v>198</v>
      </c>
      <c r="L92" s="307"/>
      <c r="M92" s="307">
        <v>480</v>
      </c>
    </row>
    <row r="93" spans="1:13" s="306" customFormat="1" ht="12.75" customHeight="1" x14ac:dyDescent="0.25">
      <c r="A93" s="534" t="s">
        <v>425</v>
      </c>
      <c r="B93" s="307">
        <v>625</v>
      </c>
      <c r="C93" s="307">
        <v>320</v>
      </c>
      <c r="D93" s="307"/>
      <c r="E93" s="307">
        <v>835</v>
      </c>
      <c r="F93" s="307"/>
      <c r="G93" s="307">
        <v>479</v>
      </c>
      <c r="H93" s="307">
        <v>471</v>
      </c>
      <c r="I93" s="307">
        <v>462</v>
      </c>
      <c r="J93" s="307">
        <v>460</v>
      </c>
      <c r="K93" s="308" t="s">
        <v>198</v>
      </c>
      <c r="L93" s="307"/>
      <c r="M93" s="307">
        <v>502</v>
      </c>
    </row>
    <row r="94" spans="1:13" s="306" customFormat="1" ht="12.75" customHeight="1" x14ac:dyDescent="0.25">
      <c r="A94" s="534" t="s">
        <v>428</v>
      </c>
      <c r="B94" s="307">
        <v>625</v>
      </c>
      <c r="C94" s="307">
        <v>320</v>
      </c>
      <c r="D94" s="307"/>
      <c r="E94" s="307">
        <v>835</v>
      </c>
      <c r="F94" s="307"/>
      <c r="G94" s="307">
        <v>512</v>
      </c>
      <c r="H94" s="307">
        <v>503</v>
      </c>
      <c r="I94" s="307">
        <v>494</v>
      </c>
      <c r="J94" s="307">
        <v>493</v>
      </c>
      <c r="K94" s="308" t="s">
        <v>198</v>
      </c>
      <c r="L94" s="307"/>
      <c r="M94" s="307">
        <v>502</v>
      </c>
    </row>
    <row r="95" spans="1:13" s="306" customFormat="1" ht="12.75" customHeight="1" x14ac:dyDescent="0.25">
      <c r="A95" s="534" t="s">
        <v>436</v>
      </c>
      <c r="B95" s="307">
        <v>625</v>
      </c>
      <c r="C95" s="307">
        <v>326</v>
      </c>
      <c r="D95" s="307"/>
      <c r="E95" s="307">
        <v>835</v>
      </c>
      <c r="F95" s="307"/>
      <c r="G95" s="307">
        <v>530</v>
      </c>
      <c r="H95" s="307">
        <v>519</v>
      </c>
      <c r="I95" s="307">
        <v>512</v>
      </c>
      <c r="J95" s="307">
        <v>511</v>
      </c>
      <c r="K95" s="308" t="s">
        <v>198</v>
      </c>
      <c r="L95" s="307"/>
      <c r="M95" s="307">
        <v>520</v>
      </c>
    </row>
    <row r="96" spans="1:13" s="306" customFormat="1" ht="13.5" customHeight="1" x14ac:dyDescent="0.25">
      <c r="A96" s="534" t="s">
        <v>437</v>
      </c>
      <c r="B96" s="307">
        <v>625</v>
      </c>
      <c r="C96" s="307">
        <v>328</v>
      </c>
      <c r="D96" s="307"/>
      <c r="E96" s="307">
        <v>848</v>
      </c>
      <c r="F96" s="307"/>
      <c r="G96" s="307">
        <v>552</v>
      </c>
      <c r="H96" s="307">
        <v>536</v>
      </c>
      <c r="I96" s="307">
        <v>534</v>
      </c>
      <c r="J96" s="307">
        <v>533</v>
      </c>
      <c r="K96" s="308" t="s">
        <v>198</v>
      </c>
      <c r="L96" s="307"/>
      <c r="M96" s="307">
        <v>520</v>
      </c>
    </row>
    <row r="97" spans="1:13" s="306" customFormat="1" ht="13.5" customHeight="1" x14ac:dyDescent="0.25">
      <c r="A97" s="534" t="s">
        <v>434</v>
      </c>
      <c r="B97" s="307">
        <v>625</v>
      </c>
      <c r="C97" s="307">
        <v>321</v>
      </c>
      <c r="D97" s="307"/>
      <c r="E97" s="307">
        <v>912</v>
      </c>
      <c r="F97" s="307"/>
      <c r="G97" s="307">
        <v>516</v>
      </c>
      <c r="H97" s="307">
        <v>501</v>
      </c>
      <c r="I97" s="307">
        <v>500</v>
      </c>
      <c r="J97" s="307">
        <v>499</v>
      </c>
      <c r="K97" s="308" t="s">
        <v>198</v>
      </c>
      <c r="L97" s="307"/>
      <c r="M97" s="307">
        <v>511</v>
      </c>
    </row>
    <row r="98" spans="1:13" s="306" customFormat="1" ht="13.5" customHeight="1" x14ac:dyDescent="0.25">
      <c r="A98" s="534" t="s">
        <v>435</v>
      </c>
      <c r="B98" s="307">
        <v>625</v>
      </c>
      <c r="C98" s="307">
        <v>320</v>
      </c>
      <c r="D98" s="307"/>
      <c r="E98" s="307">
        <v>945</v>
      </c>
      <c r="F98" s="307"/>
      <c r="G98" s="307">
        <v>490</v>
      </c>
      <c r="H98" s="307">
        <v>473</v>
      </c>
      <c r="I98" s="307">
        <v>475</v>
      </c>
      <c r="J98" s="307">
        <v>474</v>
      </c>
      <c r="K98" s="308" t="s">
        <v>198</v>
      </c>
      <c r="L98" s="307"/>
      <c r="M98" s="307">
        <v>495</v>
      </c>
    </row>
    <row r="99" spans="1:13" s="306" customFormat="1" ht="4.5" customHeight="1" x14ac:dyDescent="0.25">
      <c r="A99" s="534"/>
      <c r="B99" s="307"/>
      <c r="C99" s="307"/>
      <c r="D99" s="307"/>
      <c r="E99" s="307"/>
      <c r="F99" s="307"/>
      <c r="G99" s="307"/>
      <c r="H99" s="307"/>
      <c r="I99" s="307"/>
      <c r="J99" s="307"/>
      <c r="K99" s="308"/>
      <c r="L99" s="307"/>
      <c r="M99" s="307"/>
    </row>
    <row r="100" spans="1:13" s="306" customFormat="1" ht="12.75" customHeight="1" x14ac:dyDescent="0.25">
      <c r="A100" s="534" t="s">
        <v>402</v>
      </c>
      <c r="B100" s="307">
        <f>AVERAGE(B90:B98)</f>
        <v>625</v>
      </c>
      <c r="C100" s="307">
        <f>AVERAGE(C90:C98)</f>
        <v>320.55555555555554</v>
      </c>
      <c r="D100" s="307"/>
      <c r="E100" s="307">
        <f>AVERAGE(E90:E98)</f>
        <v>874</v>
      </c>
      <c r="F100" s="307"/>
      <c r="G100" s="307">
        <f>AVERAGE(G90:G98)</f>
        <v>502.55555555555554</v>
      </c>
      <c r="H100" s="307">
        <f>AVERAGE(H90:H98)</f>
        <v>492.88888888888891</v>
      </c>
      <c r="I100" s="307">
        <f>AVERAGE(I90:I98)</f>
        <v>486.22222222222223</v>
      </c>
      <c r="J100" s="307">
        <f>AVERAGE(J90:J98)</f>
        <v>483.77777777777777</v>
      </c>
      <c r="K100" s="308" t="s">
        <v>198</v>
      </c>
      <c r="L100" s="307"/>
      <c r="M100" s="307">
        <f>AVERAGE(M90:M98)</f>
        <v>498</v>
      </c>
    </row>
    <row r="101" spans="1:13" s="306" customFormat="1" ht="6.5" customHeight="1" thickBot="1" x14ac:dyDescent="0.3">
      <c r="A101" s="538"/>
      <c r="B101" s="309"/>
      <c r="C101" s="309"/>
      <c r="D101" s="309"/>
      <c r="E101" s="309"/>
      <c r="F101" s="309"/>
      <c r="G101" s="309"/>
      <c r="H101" s="309"/>
      <c r="I101" s="309"/>
      <c r="J101" s="309"/>
      <c r="K101" s="416"/>
      <c r="L101" s="309"/>
      <c r="M101" s="309"/>
    </row>
    <row r="102" spans="1:13" ht="16.5" customHeight="1" x14ac:dyDescent="0.25">
      <c r="A102" s="533" t="s">
        <v>443</v>
      </c>
    </row>
    <row r="103" spans="1:13" ht="13.5" customHeight="1" x14ac:dyDescent="0.25">
      <c r="A103" s="533" t="s">
        <v>197</v>
      </c>
    </row>
    <row r="104" spans="1:13" ht="12.65" customHeight="1" x14ac:dyDescent="0.25">
      <c r="A104" s="533" t="s">
        <v>369</v>
      </c>
    </row>
    <row r="105" spans="1:13" ht="12.65" customHeight="1" x14ac:dyDescent="0.25">
      <c r="A105" s="533" t="s">
        <v>377</v>
      </c>
    </row>
    <row r="106" spans="1:13" ht="12" customHeight="1" x14ac:dyDescent="0.25">
      <c r="A106" s="533" t="s">
        <v>382</v>
      </c>
    </row>
    <row r="107" spans="1:13" ht="12" customHeight="1" x14ac:dyDescent="0.25">
      <c r="A107" s="533" t="s">
        <v>196</v>
      </c>
    </row>
    <row r="108" spans="1:13" ht="12" customHeight="1" x14ac:dyDescent="0.25">
      <c r="A108" s="533" t="s">
        <v>442</v>
      </c>
    </row>
    <row r="109" spans="1:13" ht="12" customHeight="1" x14ac:dyDescent="0.25">
      <c r="A109" s="533" t="s">
        <v>444</v>
      </c>
    </row>
    <row r="110" spans="1:13" ht="12.75" customHeight="1" x14ac:dyDescent="0.3">
      <c r="A110" s="533" t="s">
        <v>195</v>
      </c>
    </row>
    <row r="111" spans="1:13" ht="9.9" customHeight="1" x14ac:dyDescent="0.25">
      <c r="A111" s="533" t="s">
        <v>418</v>
      </c>
    </row>
    <row r="112" spans="1:13" ht="12.75" customHeight="1" x14ac:dyDescent="0.25">
      <c r="A112" s="533" t="s">
        <v>438</v>
      </c>
    </row>
    <row r="116" spans="3:15" x14ac:dyDescent="0.25">
      <c r="N116" s="304"/>
      <c r="O116" s="304"/>
    </row>
    <row r="117" spans="3:15" x14ac:dyDescent="0.25">
      <c r="N117" s="304"/>
      <c r="O117" s="304"/>
    </row>
    <row r="118" spans="3:15" x14ac:dyDescent="0.25">
      <c r="C118" s="304"/>
      <c r="D118" s="304"/>
      <c r="E118" s="298"/>
      <c r="F118" s="304"/>
      <c r="G118" s="304"/>
      <c r="H118" s="305"/>
      <c r="I118" s="304"/>
      <c r="J118" s="304"/>
      <c r="K118" s="304"/>
      <c r="L118" s="304"/>
      <c r="M118" s="304"/>
      <c r="N118" s="304"/>
      <c r="O118" s="304"/>
    </row>
    <row r="119" spans="3:15" x14ac:dyDescent="0.25">
      <c r="C119" s="304"/>
      <c r="D119" s="304"/>
      <c r="E119" s="298"/>
      <c r="F119" s="304"/>
      <c r="G119" s="304"/>
      <c r="H119" s="305"/>
      <c r="I119" s="304"/>
      <c r="J119" s="304"/>
      <c r="K119" s="304"/>
      <c r="L119" s="304"/>
      <c r="M119" s="304"/>
      <c r="N119" s="304"/>
      <c r="O119" s="304"/>
    </row>
    <row r="120" spans="3:15" x14ac:dyDescent="0.25">
      <c r="C120" s="304"/>
      <c r="D120" s="304"/>
      <c r="E120" s="298"/>
      <c r="F120" s="304"/>
      <c r="G120" s="304"/>
      <c r="H120" s="305"/>
      <c r="I120" s="304"/>
      <c r="J120" s="304"/>
      <c r="K120" s="304"/>
      <c r="L120" s="304"/>
      <c r="M120" s="304"/>
      <c r="N120" s="304"/>
      <c r="O120" s="304"/>
    </row>
    <row r="121" spans="3:15" x14ac:dyDescent="0.25">
      <c r="C121" s="304"/>
      <c r="D121" s="304"/>
      <c r="E121" s="298"/>
      <c r="F121" s="304"/>
      <c r="G121" s="304"/>
      <c r="H121" s="305"/>
      <c r="I121" s="304"/>
      <c r="J121" s="304"/>
      <c r="K121" s="304"/>
      <c r="L121" s="304"/>
      <c r="M121" s="304"/>
      <c r="N121" s="304"/>
      <c r="O121" s="304"/>
    </row>
    <row r="124" spans="3:15" x14ac:dyDescent="0.25">
      <c r="N124" s="299" t="s">
        <v>81</v>
      </c>
    </row>
    <row r="125" spans="3:15" x14ac:dyDescent="0.25">
      <c r="N125" s="299" t="s">
        <v>81</v>
      </c>
    </row>
    <row r="129" spans="15:15" x14ac:dyDescent="0.25">
      <c r="O129" s="299" t="s">
        <v>81</v>
      </c>
    </row>
    <row r="189" spans="2:14" x14ac:dyDescent="0.25">
      <c r="I189" s="299"/>
      <c r="J189" s="299"/>
      <c r="K189" s="299"/>
      <c r="L189" s="299"/>
      <c r="M189" s="299"/>
    </row>
    <row r="190" spans="2:14" x14ac:dyDescent="0.25">
      <c r="E190" s="300"/>
      <c r="H190" s="297"/>
      <c r="M190" s="299"/>
    </row>
    <row r="191" spans="2:14" x14ac:dyDescent="0.25">
      <c r="B191" s="299"/>
      <c r="G191" s="299"/>
      <c r="M191" s="299"/>
      <c r="N191" s="299"/>
    </row>
    <row r="192" spans="2:14" x14ac:dyDescent="0.25">
      <c r="B192" s="297"/>
      <c r="C192" s="299"/>
      <c r="D192" s="299"/>
      <c r="E192" s="301"/>
      <c r="F192" s="299"/>
      <c r="G192" s="299"/>
      <c r="H192" s="297"/>
      <c r="I192" s="297"/>
      <c r="J192" s="297"/>
      <c r="M192" s="297"/>
    </row>
    <row r="193" spans="2:14" x14ac:dyDescent="0.25">
      <c r="B193" s="302"/>
      <c r="C193" s="302"/>
      <c r="D193" s="302"/>
      <c r="E193" s="303"/>
      <c r="F193" s="302"/>
      <c r="G193" s="299"/>
      <c r="H193" s="297"/>
      <c r="I193" s="299"/>
      <c r="J193" s="299"/>
      <c r="K193" s="297"/>
      <c r="L193" s="297"/>
      <c r="M193" s="297"/>
    </row>
    <row r="194" spans="2:14" x14ac:dyDescent="0.25">
      <c r="B194" s="297"/>
      <c r="C194" s="297"/>
      <c r="D194" s="297"/>
      <c r="E194" s="301"/>
      <c r="F194" s="297"/>
      <c r="H194" s="297"/>
      <c r="I194" s="299"/>
      <c r="J194" s="299"/>
      <c r="K194" s="297"/>
      <c r="L194" s="297"/>
    </row>
    <row r="195" spans="2:14" x14ac:dyDescent="0.25">
      <c r="B195" s="299"/>
      <c r="C195" s="299"/>
      <c r="D195" s="299"/>
      <c r="E195" s="300"/>
      <c r="F195" s="299"/>
      <c r="G195" s="299"/>
      <c r="H195" s="297"/>
      <c r="I195" s="299"/>
      <c r="J195" s="299"/>
      <c r="K195" s="299"/>
      <c r="L195" s="299"/>
      <c r="M195" s="299"/>
      <c r="N195" s="299"/>
    </row>
    <row r="197" spans="2:14" x14ac:dyDescent="0.25">
      <c r="E197" s="300"/>
    </row>
    <row r="199" spans="2:14" x14ac:dyDescent="0.25">
      <c r="B199" s="296"/>
      <c r="C199" s="296"/>
      <c r="D199" s="296"/>
      <c r="E199" s="298"/>
      <c r="F199" s="296"/>
      <c r="G199" s="296"/>
      <c r="H199" s="297"/>
      <c r="I199" s="296"/>
      <c r="J199" s="296"/>
      <c r="K199" s="296"/>
      <c r="L199" s="296"/>
    </row>
    <row r="200" spans="2:14" x14ac:dyDescent="0.25">
      <c r="B200" s="296"/>
      <c r="C200" s="296"/>
      <c r="D200" s="296"/>
      <c r="E200" s="298"/>
      <c r="F200" s="296"/>
      <c r="G200" s="296"/>
      <c r="H200" s="297"/>
      <c r="I200" s="296"/>
      <c r="J200" s="296"/>
      <c r="K200" s="296"/>
      <c r="L200" s="296"/>
    </row>
    <row r="201" spans="2:14" x14ac:dyDescent="0.25">
      <c r="B201" s="296"/>
      <c r="C201" s="296"/>
      <c r="D201" s="296"/>
      <c r="E201" s="298"/>
      <c r="F201" s="296"/>
      <c r="G201" s="296"/>
      <c r="H201" s="297"/>
      <c r="I201" s="296"/>
      <c r="J201" s="296"/>
      <c r="K201" s="296"/>
      <c r="L201" s="296"/>
    </row>
    <row r="202" spans="2:14" x14ac:dyDescent="0.25">
      <c r="B202" s="296"/>
      <c r="C202" s="296"/>
      <c r="D202" s="296"/>
      <c r="E202" s="298"/>
      <c r="F202" s="296"/>
      <c r="G202" s="296"/>
      <c r="H202" s="297"/>
      <c r="I202" s="296"/>
      <c r="J202" s="296"/>
      <c r="K202" s="296"/>
      <c r="L202" s="296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helpdesk</cp:lastModifiedBy>
  <cp:lastPrinted>2021-01-05T21:21:30Z</cp:lastPrinted>
  <dcterms:created xsi:type="dcterms:W3CDTF">2003-10-16T13:04:59Z</dcterms:created>
  <dcterms:modified xsi:type="dcterms:W3CDTF">2021-04-13T15:32:04Z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