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98FC2C3C-A17D-495A-ACA0-3E9F564F73CE}" xr6:coauthVersionLast="45" xr6:coauthVersionMax="45" xr10:uidLastSave="{00000000-0000-0000-0000-000000000000}"/>
  <bookViews>
    <workbookView xWindow="340" yWindow="220" windowWidth="11520" windowHeight="969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1'!$A$1:$N$36</definedName>
    <definedName name="_xlnm.Print_Area" localSheetId="7">'Table 10'!$A$1:$G$37</definedName>
    <definedName name="_xlnm.Print_Area" localSheetId="2">'Table 2'!$A$1:$J$28</definedName>
    <definedName name="_xlnm.Print_Area" localSheetId="3">'Table 3'!$A$1:$M$43</definedName>
    <definedName name="_xlnm.Print_Area" localSheetId="5">'Table 8'!$A$1:$G$35</definedName>
    <definedName name="_xlnm.Print_Area" localSheetId="6">'Table 9'!$A$1:$I$37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F8" i="1" l="1"/>
  <c r="J27" i="9" l="1"/>
  <c r="D27" i="9"/>
  <c r="H33" i="1"/>
  <c r="B26" i="2"/>
  <c r="H26" i="2"/>
  <c r="D26" i="2"/>
  <c r="G32" i="1" l="1"/>
  <c r="L32" i="1"/>
  <c r="L27" i="9" l="1"/>
  <c r="J26" i="2"/>
  <c r="C26" i="2"/>
  <c r="J31" i="1"/>
  <c r="J32" i="1"/>
  <c r="J7" i="2" l="1"/>
  <c r="H7" i="2"/>
  <c r="D7" i="2"/>
  <c r="C7" i="2"/>
  <c r="L33" i="1"/>
  <c r="J33" i="1"/>
  <c r="E33" i="1"/>
  <c r="G33" i="1"/>
  <c r="J22" i="2"/>
  <c r="H22" i="2"/>
  <c r="D22" i="2"/>
  <c r="C22" i="2"/>
  <c r="J21" i="2"/>
  <c r="B22" i="2" s="1"/>
  <c r="E22" i="2" s="1"/>
  <c r="H21" i="2"/>
  <c r="D21" i="2"/>
  <c r="C21" i="2"/>
  <c r="J20" i="2"/>
  <c r="B21" i="2" s="1"/>
  <c r="H20" i="2"/>
  <c r="D20" i="2"/>
  <c r="C20" i="2"/>
  <c r="J19" i="2"/>
  <c r="B20" i="2" s="1"/>
  <c r="E20" i="2" s="1"/>
  <c r="H19" i="2"/>
  <c r="D19" i="2"/>
  <c r="C19" i="2"/>
  <c r="J18" i="2"/>
  <c r="B19" i="2" s="1"/>
  <c r="H18" i="2"/>
  <c r="D18" i="2"/>
  <c r="C18" i="2"/>
  <c r="J17" i="2"/>
  <c r="B18" i="2" s="1"/>
  <c r="E18" i="2" s="1"/>
  <c r="H17" i="2"/>
  <c r="D17" i="2"/>
  <c r="C17" i="2"/>
  <c r="J16" i="2"/>
  <c r="B17" i="2" s="1"/>
  <c r="H16" i="2"/>
  <c r="D16" i="2"/>
  <c r="C16" i="2"/>
  <c r="J15" i="2"/>
  <c r="B16" i="2" s="1"/>
  <c r="E16" i="2" s="1"/>
  <c r="H15" i="2"/>
  <c r="D15" i="2"/>
  <c r="C15" i="2"/>
  <c r="J14" i="2"/>
  <c r="B15" i="2" s="1"/>
  <c r="H14" i="2"/>
  <c r="D14" i="2"/>
  <c r="C14" i="2"/>
  <c r="J13" i="2"/>
  <c r="B14" i="2" s="1"/>
  <c r="E14" i="2" s="1"/>
  <c r="H13" i="2"/>
  <c r="D13" i="2"/>
  <c r="C13" i="2"/>
  <c r="J12" i="2"/>
  <c r="B13" i="2" s="1"/>
  <c r="H12" i="2"/>
  <c r="D12" i="2"/>
  <c r="C12" i="2"/>
  <c r="J11" i="2"/>
  <c r="B12" i="2" s="1"/>
  <c r="E12" i="2" s="1"/>
  <c r="H11" i="2"/>
  <c r="D11" i="2"/>
  <c r="C11" i="2"/>
  <c r="C23" i="2" s="1"/>
  <c r="B11" i="2"/>
  <c r="L8" i="9"/>
  <c r="J8" i="9"/>
  <c r="D8" i="9"/>
  <c r="C8" i="9"/>
  <c r="B27" i="9"/>
  <c r="H24" i="9"/>
  <c r="H8" i="9" s="1"/>
  <c r="C24" i="9"/>
  <c r="L23" i="9"/>
  <c r="J23" i="9"/>
  <c r="D23" i="9"/>
  <c r="L22" i="9"/>
  <c r="B23" i="9" s="1"/>
  <c r="E23" i="9" s="1"/>
  <c r="K23" i="9" s="1"/>
  <c r="G23" i="9" s="1"/>
  <c r="I23" i="9" s="1"/>
  <c r="J22" i="9"/>
  <c r="D22" i="9"/>
  <c r="L21" i="9"/>
  <c r="B22" i="9" s="1"/>
  <c r="J21" i="9"/>
  <c r="D21" i="9"/>
  <c r="L20" i="9"/>
  <c r="B21" i="9" s="1"/>
  <c r="J20" i="9"/>
  <c r="D20" i="9"/>
  <c r="L19" i="9"/>
  <c r="B20" i="9" s="1"/>
  <c r="E20" i="9" s="1"/>
  <c r="K20" i="9" s="1"/>
  <c r="G20" i="9" s="1"/>
  <c r="I20" i="9" s="1"/>
  <c r="J19" i="9"/>
  <c r="D19" i="9"/>
  <c r="L18" i="9"/>
  <c r="B19" i="9" s="1"/>
  <c r="J18" i="9"/>
  <c r="D18" i="9"/>
  <c r="L17" i="9"/>
  <c r="B18" i="9" s="1"/>
  <c r="E18" i="9" s="1"/>
  <c r="K18" i="9" s="1"/>
  <c r="G18" i="9" s="1"/>
  <c r="I18" i="9" s="1"/>
  <c r="J17" i="9"/>
  <c r="D17" i="9"/>
  <c r="L16" i="9"/>
  <c r="B17" i="9" s="1"/>
  <c r="E17" i="9" s="1"/>
  <c r="K17" i="9" s="1"/>
  <c r="G17" i="9" s="1"/>
  <c r="I17" i="9" s="1"/>
  <c r="J16" i="9"/>
  <c r="D16" i="9"/>
  <c r="L15" i="9"/>
  <c r="B16" i="9" s="1"/>
  <c r="E16" i="9" s="1"/>
  <c r="J15" i="9"/>
  <c r="D15" i="9"/>
  <c r="L14" i="9"/>
  <c r="B15" i="9" s="1"/>
  <c r="E15" i="9" s="1"/>
  <c r="K15" i="9" s="1"/>
  <c r="G15" i="9" s="1"/>
  <c r="I15" i="9" s="1"/>
  <c r="J14" i="9"/>
  <c r="D14" i="9"/>
  <c r="L13" i="9"/>
  <c r="B14" i="9" s="1"/>
  <c r="J13" i="9"/>
  <c r="D13" i="9"/>
  <c r="L12" i="9"/>
  <c r="B13" i="9" s="1"/>
  <c r="J12" i="9"/>
  <c r="D12" i="9"/>
  <c r="B12" i="9"/>
  <c r="D23" i="2" l="1"/>
  <c r="E13" i="2"/>
  <c r="I13" i="2" s="1"/>
  <c r="G13" i="2" s="1"/>
  <c r="E15" i="2"/>
  <c r="I15" i="2" s="1"/>
  <c r="G15" i="2" s="1"/>
  <c r="E17" i="2"/>
  <c r="I17" i="2" s="1"/>
  <c r="G17" i="2" s="1"/>
  <c r="E19" i="2"/>
  <c r="I19" i="2" s="1"/>
  <c r="G19" i="2" s="1"/>
  <c r="E21" i="2"/>
  <c r="I21" i="2" s="1"/>
  <c r="G21" i="2" s="1"/>
  <c r="E23" i="2"/>
  <c r="H23" i="2"/>
  <c r="I12" i="2"/>
  <c r="G12" i="2" s="1"/>
  <c r="I18" i="2"/>
  <c r="G18" i="2" s="1"/>
  <c r="I22" i="2"/>
  <c r="G22" i="2" s="1"/>
  <c r="I14" i="2"/>
  <c r="G14" i="2" s="1"/>
  <c r="I16" i="2"/>
  <c r="G16" i="2" s="1"/>
  <c r="I20" i="2"/>
  <c r="G20" i="2" s="1"/>
  <c r="E11" i="2"/>
  <c r="I11" i="2" s="1"/>
  <c r="E24" i="9"/>
  <c r="J24" i="9"/>
  <c r="E13" i="9"/>
  <c r="K13" i="9" s="1"/>
  <c r="G13" i="9" s="1"/>
  <c r="I13" i="9" s="1"/>
  <c r="E21" i="9"/>
  <c r="K21" i="9" s="1"/>
  <c r="G21" i="9" s="1"/>
  <c r="I21" i="9" s="1"/>
  <c r="D24" i="9"/>
  <c r="E19" i="9"/>
  <c r="K19" i="9" s="1"/>
  <c r="G19" i="9" s="1"/>
  <c r="I19" i="9" s="1"/>
  <c r="K16" i="9"/>
  <c r="G16" i="9" s="1"/>
  <c r="I16" i="9" s="1"/>
  <c r="E14" i="9"/>
  <c r="K14" i="9" s="1"/>
  <c r="G14" i="9" s="1"/>
  <c r="I14" i="9" s="1"/>
  <c r="E22" i="9"/>
  <c r="K22" i="9" s="1"/>
  <c r="G22" i="9" s="1"/>
  <c r="I22" i="9" s="1"/>
  <c r="E12" i="9"/>
  <c r="K12" i="9" s="1"/>
  <c r="L31" i="1"/>
  <c r="G31" i="1"/>
  <c r="I23" i="2" l="1"/>
  <c r="G11" i="2"/>
  <c r="G23" i="2" s="1"/>
  <c r="K24" i="9"/>
  <c r="G12" i="9"/>
  <c r="I12" i="9" l="1"/>
  <c r="I24" i="9" s="1"/>
  <c r="G24" i="9"/>
  <c r="J26" i="1"/>
  <c r="L26" i="1" l="1"/>
  <c r="G26" i="1"/>
  <c r="F15" i="1" l="1"/>
  <c r="N7" i="1" l="1"/>
  <c r="E27" i="1"/>
  <c r="O48" i="3" l="1"/>
  <c r="K48" i="3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20" i="1" l="1"/>
  <c r="L23" i="1" s="1"/>
  <c r="G20" i="1" l="1"/>
  <c r="G23" i="1" s="1"/>
  <c r="H23" i="1" l="1"/>
  <c r="M23" i="1" s="1"/>
  <c r="J20" i="1"/>
  <c r="J23" i="1" s="1"/>
  <c r="K23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18" i="1" l="1"/>
  <c r="L18" i="1" l="1"/>
  <c r="G18" i="1"/>
  <c r="E19" i="1" l="1"/>
  <c r="L17" i="1" l="1"/>
  <c r="G17" i="1"/>
  <c r="J13" i="1" l="1"/>
  <c r="J17" i="1" l="1"/>
  <c r="B53" i="3" l="1"/>
  <c r="L19" i="1" l="1"/>
  <c r="G19" i="1"/>
  <c r="H19" i="1" s="1"/>
  <c r="M19" i="1" s="1"/>
  <c r="J16" i="1" l="1"/>
  <c r="J19" i="1" s="1"/>
  <c r="K19" i="1" l="1"/>
  <c r="G21" i="6" l="1"/>
  <c r="J14" i="1" l="1"/>
  <c r="L15" i="1" l="1"/>
  <c r="L28" i="1" s="1"/>
  <c r="L7" i="1" s="1"/>
  <c r="G15" i="1"/>
  <c r="G28" i="1" s="1"/>
  <c r="G7" i="1" l="1"/>
  <c r="H28" i="1"/>
  <c r="J12" i="1"/>
  <c r="J15" i="1" s="1"/>
  <c r="J28" i="1" s="1"/>
  <c r="J7" i="1" s="1"/>
  <c r="F7" i="1"/>
  <c r="D7" i="1" s="1"/>
  <c r="H15" i="1"/>
  <c r="E27" i="9" l="1"/>
  <c r="K27" i="9" s="1"/>
  <c r="M15" i="1"/>
  <c r="M28" i="1" s="1"/>
  <c r="E26" i="2"/>
  <c r="I26" i="2" s="1"/>
  <c r="B7" i="2"/>
  <c r="B37" i="1"/>
  <c r="G26" i="2" l="1"/>
  <c r="K15" i="1"/>
  <c r="K28" i="1" s="1"/>
  <c r="G27" i="9"/>
  <c r="K47" i="3" l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8" i="9" l="1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E7" i="9" l="1"/>
  <c r="K7" i="9" s="1"/>
  <c r="G7" i="9" s="1"/>
  <c r="I7" i="9" s="1"/>
  <c r="E6" i="2" l="1"/>
  <c r="I6" i="2" s="1"/>
  <c r="G6" i="2" s="1"/>
  <c r="H6" i="1" l="1"/>
  <c r="M6" i="1" s="1"/>
  <c r="B39" i="6"/>
  <c r="B38" i="5"/>
  <c r="B38" i="4"/>
  <c r="B30" i="9"/>
  <c r="B29" i="2"/>
  <c r="A5" i="10"/>
  <c r="K6" i="1" l="1"/>
</calcChain>
</file>

<file path=xl/sharedStrings.xml><?xml version="1.0" encoding="utf-8"?>
<sst xmlns="http://schemas.openxmlformats.org/spreadsheetml/2006/main" count="454" uniqueCount="185">
  <si>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</si>
  <si>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</si>
  <si>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</si>
  <si>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</si>
  <si>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</si>
  <si>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</si>
  <si>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</si>
  <si>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</si>
  <si>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</si>
  <si>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</si>
  <si>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</si>
  <si>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</si>
  <si>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</si>
  <si>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</si>
  <si>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</si>
  <si>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</si>
  <si>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</si>
  <si>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</si>
  <si>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</si>
  <si>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</si>
  <si>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</si>
  <si>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</si>
  <si>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</si>
  <si>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</si>
  <si>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</si>
  <si>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</si>
  <si>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</si>
  <si>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</si>
  <si>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</si>
  <si>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</si>
  <si>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</si>
  <si>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</si>
  <si>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</si>
  <si>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</si>
  <si>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</si>
  <si>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</si>
  <si>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</si>
  <si>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</si>
  <si>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</si>
  <si>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</si>
  <si>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</si>
  <si>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</si>
  <si>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</si>
  <si>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</si>
  <si>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</si>
  <si>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</si>
  <si>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</si>
  <si>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</si>
  <si>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</si>
  <si>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</si>
  <si>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</si>
  <si>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</si>
  <si>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</si>
  <si>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</si>
  <si>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</si>
  <si>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</si>
  <si>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</si>
  <si>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</si>
  <si>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</si>
  <si>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</si>
  <si>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</si>
  <si>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</si>
  <si>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</si>
  <si>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</si>
  <si>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</si>
  <si>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</si>
  <si>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</si>
  <si>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</si>
  <si>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</si>
  <si>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</si>
  <si>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</si>
  <si>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</si>
  <si>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</si>
  <si>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</si>
  <si>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</si>
  <si>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</si>
  <si>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</si>
  <si>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</si>
  <si>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</si>
  <si>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</si>
  <si>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</si>
  <si>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</si>
  <si>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</si>
  <si>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</si>
  <si>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</si>
  <si>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</si>
  <si>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</si>
  <si>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</si>
  <si>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</si>
  <si>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</si>
  <si>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</si>
  <si>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</si>
  <si>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</si>
  <si>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</si>
  <si>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</si>
  <si>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</si>
  <si>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</si>
  <si>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</si>
  <si>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</si>
  <si>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</si>
  <si>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</si>
  <si>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</si>
  <si>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</si>
  <si>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</si>
  <si>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</si>
  <si>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</si>
  <si>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</si>
  <si>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</si>
  <si>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</si>
  <si>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</si>
  <si>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</si>
  <si>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</si>
  <si>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</si>
  <si>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</si>
  <si>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</si>
  <si>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</si>
  <si>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</si>
  <si>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</si>
  <si>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</si>
  <si>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</si>
  <si>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</si>
  <si>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</si>
  <si>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</si>
  <si>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</si>
  <si>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</si>
  <si>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</si>
  <si>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</si>
  <si>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</si>
  <si>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</si>
  <si>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</si>
  <si>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</si>
  <si>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</si>
  <si>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</si>
  <si>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</si>
  <si>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</si>
  <si>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</si>
  <si>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</si>
  <si>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</si>
  <si>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</si>
  <si>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</si>
  <si>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</si>
  <si>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</si>
  <si>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</si>
  <si>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</si>
  <si>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</si>
  <si>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</si>
  <si>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</si>
  <si>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</si>
  <si>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</si>
  <si>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</si>
  <si>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</si>
  <si>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</si>
  <si>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</si>
  <si>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</si>
  <si>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</si>
  <si>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</si>
  <si>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</si>
  <si>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</si>
  <si>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</si>
  <si>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</si>
  <si>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</si>
  <si>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</si>
  <si>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</si>
  <si>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</si>
  <si>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</si>
  <si>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</si>
  <si>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</si>
  <si>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</si>
  <si>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</si>
  <si>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</si>
  <si>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</si>
  <si>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>Soybean oil</t>
  </si>
  <si>
    <t>Canola oil</t>
  </si>
  <si>
    <t>Cottonseed oil</t>
  </si>
  <si>
    <t>Dollars per metric ton</t>
  </si>
  <si>
    <t>Malaysian</t>
  </si>
  <si>
    <t>palm oil</t>
  </si>
  <si>
    <t>Argentine</t>
  </si>
  <si>
    <t>soybean oil</t>
  </si>
  <si>
    <t>sunflowerseed oil</t>
  </si>
  <si>
    <t>rapeseed oil</t>
  </si>
  <si>
    <t>EU</t>
  </si>
  <si>
    <t>Soybean meal</t>
  </si>
  <si>
    <t>price</t>
  </si>
  <si>
    <t>$/short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</si>
</sst>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#,##0.0"/>
    <numFmt numFmtId="171" formatCode="[$-409]mmm\-yy;@"/>
    <numFmt numFmtId="172" formatCode="0.0000"/>
    <numFmt numFmtId="173" formatCode="[$-409]d\-mmm;@"/>
    <numFmt numFmtId="174" formatCode="0_)"/>
    <numFmt numFmtId="175" formatCode="#,##0.000"/>
    <numFmt numFmtId="176" formatCode="mmm\-yyyy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1" fontId="2" fillId="0" borderId="0" xfId="0" quotePrefix="1" applyNumberFormat="1" applyFont="1"/>
    <xf numFmtId="170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0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2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67" fontId="0" fillId="0" borderId="0" xfId="12" applyNumberFormat="1" applyFont="1"/>
    <xf numFmtId="0" fontId="2" fillId="0" borderId="1" xfId="0" applyFont="1" applyBorder="1"/>
    <xf numFmtId="170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3" fontId="0" fillId="0" borderId="0" xfId="0" applyNumberFormat="1" applyBorder="1"/>
    <xf numFmtId="170" fontId="13" fillId="0" borderId="0" xfId="0" applyNumberFormat="1" applyFont="1" applyBorder="1"/>
    <xf numFmtId="174" fontId="17" fillId="0" borderId="0" xfId="0" quotePrefix="1" applyNumberFormat="1" applyFont="1" applyAlignment="1" applyProtection="1">
      <alignment horizontal="right"/>
    </xf>
    <xf numFmtId="174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0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3" fontId="5" fillId="0" borderId="0" xfId="0" applyNumberFormat="1" applyFont="1"/>
    <xf numFmtId="9" fontId="13" fillId="0" borderId="0" xfId="12" applyFont="1"/>
    <xf numFmtId="175" fontId="5" fillId="0" borderId="0" xfId="0" applyNumberFormat="1" applyFont="1"/>
    <xf numFmtId="170" fontId="5" fillId="0" borderId="0" xfId="0" applyNumberFormat="1" applyFont="1"/>
    <xf numFmtId="164" fontId="1" fillId="0" borderId="0" xfId="1" applyNumberFormat="1" applyFont="1" applyProtection="1"/>
    <xf numFmtId="37" fontId="20" fillId="0" borderId="0" xfId="0" applyNumberFormat="1" applyFont="1"/>
    <xf numFmtId="171" fontId="1" fillId="0" borderId="0" xfId="0" applyNumberFormat="1" applyFont="1"/>
    <xf numFmtId="165" fontId="5" fillId="0" borderId="0" xfId="1" applyNumberFormat="1" applyFont="1"/>
    <xf numFmtId="165" fontId="1" fillId="0" borderId="0" xfId="1" applyNumberFormat="1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43" fontId="5" fillId="0" borderId="0" xfId="1" applyNumberFormat="1" applyFont="1"/>
    <xf numFmtId="176" fontId="0" fillId="0" borderId="0" xfId="0" applyNumberForma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1</a:t>
            </a:r>
          </a:p>
          <a:p>
            <a:pPr algn="l">
              <a:defRPr/>
            </a:pPr>
            <a:r>
              <a:rPr lang="en-US" sz="1050" b="1" baseline="0"/>
              <a:t>Spike in soybean meal prices to a 3-year high boosts crush margins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3.4202180912952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lineChart>
        <c:grouping val="standard"/>
        <c:varyColors val="0"/>
        <c:ser>
          <c:idx val="1"/>
          <c:order val="0"/>
          <c:tx>
            <c:strRef>
              <c:f>Cover!$B$2</c:f>
              <c:strCache>
                <c:ptCount val="1"/>
              </c:strCache>
            </c:strRef>
          </c:tx>
          <c:spPr>
            <a:ln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Cover!$A$4:$A$77</c:f>
              <c:numCache>
                <c:formatCode>[$-409]mmm\-yy;@</c:formatCode>
                <c:ptCount val="74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  <c:pt idx="39">
                  <c:v>43101</c:v>
                </c:pt>
                <c:pt idx="40">
                  <c:v>43132</c:v>
                </c:pt>
                <c:pt idx="41">
                  <c:v>43160</c:v>
                </c:pt>
                <c:pt idx="42">
                  <c:v>43191</c:v>
                </c:pt>
                <c:pt idx="43">
                  <c:v>43221</c:v>
                </c:pt>
                <c:pt idx="44">
                  <c:v>43252</c:v>
                </c:pt>
                <c:pt idx="45">
                  <c:v>43282</c:v>
                </c:pt>
                <c:pt idx="46">
                  <c:v>43313</c:v>
                </c:pt>
                <c:pt idx="47">
                  <c:v>43344</c:v>
                </c:pt>
                <c:pt idx="48">
                  <c:v>43374</c:v>
                </c:pt>
                <c:pt idx="49">
                  <c:v>43405</c:v>
                </c:pt>
                <c:pt idx="50">
                  <c:v>43435</c:v>
                </c:pt>
                <c:pt idx="51">
                  <c:v>43466</c:v>
                </c:pt>
                <c:pt idx="52">
                  <c:v>43497</c:v>
                </c:pt>
                <c:pt idx="53">
                  <c:v>43525</c:v>
                </c:pt>
                <c:pt idx="54">
                  <c:v>43556</c:v>
                </c:pt>
                <c:pt idx="55">
                  <c:v>43586</c:v>
                </c:pt>
                <c:pt idx="56">
                  <c:v>43617</c:v>
                </c:pt>
                <c:pt idx="57">
                  <c:v>43647</c:v>
                </c:pt>
                <c:pt idx="58">
                  <c:v>43678</c:v>
                </c:pt>
                <c:pt idx="59">
                  <c:v>43709</c:v>
                </c:pt>
                <c:pt idx="60">
                  <c:v>43739</c:v>
                </c:pt>
                <c:pt idx="61">
                  <c:v>43770</c:v>
                </c:pt>
                <c:pt idx="62">
                  <c:v>43800</c:v>
                </c:pt>
                <c:pt idx="63">
                  <c:v>43831</c:v>
                </c:pt>
                <c:pt idx="64">
                  <c:v>43862</c:v>
                </c:pt>
                <c:pt idx="65">
                  <c:v>43891</c:v>
                </c:pt>
                <c:pt idx="66">
                  <c:v>43922</c:v>
                </c:pt>
                <c:pt idx="67">
                  <c:v>43952</c:v>
                </c:pt>
                <c:pt idx="68">
                  <c:v>43983</c:v>
                </c:pt>
                <c:pt idx="69">
                  <c:v>44013</c:v>
                </c:pt>
                <c:pt idx="70">
                  <c:v>44044</c:v>
                </c:pt>
                <c:pt idx="71">
                  <c:v>44075</c:v>
                </c:pt>
                <c:pt idx="72">
                  <c:v>44105</c:v>
                </c:pt>
                <c:pt idx="73">
                  <c:v>44136</c:v>
                </c:pt>
              </c:numCache>
            </c:numRef>
          </c:cat>
          <c:val>
            <c:numRef>
              <c:f>Cover!$B$4:$B$77</c:f>
              <c:numCache>
                <c:formatCode>_(* #,##0_);_(* \(#,##0\);_(* "-"??_);_(@_)</c:formatCode>
                <c:ptCount val="74"/>
                <c:pt idx="0">
                  <c:v>381.5</c:v>
                </c:pt>
                <c:pt idx="1">
                  <c:v>441.39</c:v>
                </c:pt>
                <c:pt idx="2">
                  <c:v>431.73</c:v>
                </c:pt>
                <c:pt idx="3">
                  <c:v>380.03</c:v>
                </c:pt>
                <c:pt idx="4">
                  <c:v>370.38</c:v>
                </c:pt>
                <c:pt idx="5">
                  <c:v>357.83</c:v>
                </c:pt>
                <c:pt idx="6">
                  <c:v>336.61</c:v>
                </c:pt>
                <c:pt idx="7">
                  <c:v>320.23</c:v>
                </c:pt>
                <c:pt idx="8">
                  <c:v>335.03</c:v>
                </c:pt>
                <c:pt idx="9">
                  <c:v>375.71</c:v>
                </c:pt>
                <c:pt idx="10">
                  <c:v>357.85</c:v>
                </c:pt>
                <c:pt idx="11">
                  <c:v>333.62</c:v>
                </c:pt>
                <c:pt idx="12">
                  <c:v>327.97</c:v>
                </c:pt>
                <c:pt idx="13">
                  <c:v>308.60000000000002</c:v>
                </c:pt>
                <c:pt idx="14">
                  <c:v>289.77999999999997</c:v>
                </c:pt>
                <c:pt idx="15">
                  <c:v>279.56</c:v>
                </c:pt>
                <c:pt idx="16">
                  <c:v>273.61</c:v>
                </c:pt>
                <c:pt idx="17">
                  <c:v>276.22000000000003</c:v>
                </c:pt>
                <c:pt idx="18">
                  <c:v>303.81</c:v>
                </c:pt>
                <c:pt idx="19">
                  <c:v>376.35</c:v>
                </c:pt>
                <c:pt idx="20">
                  <c:v>408.57</c:v>
                </c:pt>
                <c:pt idx="21">
                  <c:v>371.49</c:v>
                </c:pt>
                <c:pt idx="22">
                  <c:v>340.8</c:v>
                </c:pt>
                <c:pt idx="23">
                  <c:v>337.95</c:v>
                </c:pt>
                <c:pt idx="24">
                  <c:v>323.27</c:v>
                </c:pt>
                <c:pt idx="25">
                  <c:v>322.41000000000003</c:v>
                </c:pt>
                <c:pt idx="26">
                  <c:v>321.02</c:v>
                </c:pt>
                <c:pt idx="27">
                  <c:v>332.34</c:v>
                </c:pt>
                <c:pt idx="28">
                  <c:v>334.42</c:v>
                </c:pt>
                <c:pt idx="29">
                  <c:v>320.33999999999997</c:v>
                </c:pt>
                <c:pt idx="30">
                  <c:v>305.67</c:v>
                </c:pt>
                <c:pt idx="31">
                  <c:v>307.63</c:v>
                </c:pt>
                <c:pt idx="32">
                  <c:v>300.72000000000003</c:v>
                </c:pt>
                <c:pt idx="33">
                  <c:v>326.04000000000002</c:v>
                </c:pt>
                <c:pt idx="34">
                  <c:v>301.05</c:v>
                </c:pt>
                <c:pt idx="35">
                  <c:v>307.7</c:v>
                </c:pt>
                <c:pt idx="36">
                  <c:v>315.23</c:v>
                </c:pt>
                <c:pt idx="37">
                  <c:v>313.52</c:v>
                </c:pt>
                <c:pt idx="38">
                  <c:v>319.22000000000003</c:v>
                </c:pt>
                <c:pt idx="39">
                  <c:v>322.60000000000002</c:v>
                </c:pt>
                <c:pt idx="40">
                  <c:v>362.85</c:v>
                </c:pt>
                <c:pt idx="41">
                  <c:v>379.85</c:v>
                </c:pt>
                <c:pt idx="42">
                  <c:v>385.84</c:v>
                </c:pt>
                <c:pt idx="43">
                  <c:v>393.55</c:v>
                </c:pt>
                <c:pt idx="44">
                  <c:v>355.71</c:v>
                </c:pt>
                <c:pt idx="45">
                  <c:v>341.08</c:v>
                </c:pt>
                <c:pt idx="46">
                  <c:v>332.5</c:v>
                </c:pt>
                <c:pt idx="47">
                  <c:v>318.32</c:v>
                </c:pt>
                <c:pt idx="48">
                  <c:v>319.14999999999998</c:v>
                </c:pt>
                <c:pt idx="49">
                  <c:v>310.62</c:v>
                </c:pt>
                <c:pt idx="50">
                  <c:v>311.7</c:v>
                </c:pt>
                <c:pt idx="51">
                  <c:v>314.92</c:v>
                </c:pt>
                <c:pt idx="52">
                  <c:v>306.83</c:v>
                </c:pt>
                <c:pt idx="53">
                  <c:v>306.38</c:v>
                </c:pt>
                <c:pt idx="54">
                  <c:v>304.26</c:v>
                </c:pt>
                <c:pt idx="55">
                  <c:v>297.52</c:v>
                </c:pt>
                <c:pt idx="56">
                  <c:v>324.75</c:v>
                </c:pt>
                <c:pt idx="57">
                  <c:v>310.77</c:v>
                </c:pt>
                <c:pt idx="58">
                  <c:v>296.92</c:v>
                </c:pt>
                <c:pt idx="59">
                  <c:v>295.57</c:v>
                </c:pt>
                <c:pt idx="60">
                  <c:v>309.48</c:v>
                </c:pt>
                <c:pt idx="61">
                  <c:v>303.13</c:v>
                </c:pt>
                <c:pt idx="62">
                  <c:v>299.58999999999997</c:v>
                </c:pt>
                <c:pt idx="63">
                  <c:v>300.11</c:v>
                </c:pt>
                <c:pt idx="64">
                  <c:v>295.27999999999997</c:v>
                </c:pt>
                <c:pt idx="65">
                  <c:v>312.38</c:v>
                </c:pt>
                <c:pt idx="66">
                  <c:v>295.39999999999998</c:v>
                </c:pt>
                <c:pt idx="67">
                  <c:v>288.56</c:v>
                </c:pt>
                <c:pt idx="68">
                  <c:v>288.66000000000003</c:v>
                </c:pt>
                <c:pt idx="69">
                  <c:v>291.25</c:v>
                </c:pt>
                <c:pt idx="70">
                  <c:v>290.18</c:v>
                </c:pt>
                <c:pt idx="71">
                  <c:v>319.99</c:v>
                </c:pt>
                <c:pt idx="72">
                  <c:v>367.11</c:v>
                </c:pt>
                <c:pt idx="73">
                  <c:v>387.83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5-47D0-B287-D695DF38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</a:t>
                </a:r>
                <a:r>
                  <a:rPr lang="en-US" sz="800" i="0"/>
                  <a:t>Agricultural Marketing Service</a:t>
                </a:r>
                <a:r>
                  <a:rPr lang="en-US" sz="800" i="1"/>
                  <a:t>, Central Illinois Soybean Processor Report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5507604818628435E-2"/>
              <c:y val="0.94615228508807547"/>
            </c:manualLayout>
          </c:layout>
          <c:overlay val="0"/>
        </c:title>
        <c:numFmt formatCode="[$-409]mmm\-yy;@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500"/>
          <c:min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 per short ton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2</a:t>
            </a:r>
          </a:p>
          <a:p>
            <a:pPr algn="l">
              <a:defRPr/>
            </a:pPr>
            <a:r>
              <a:rPr lang="en-US" sz="1050" b="1" i="0" u="none" strike="noStrike" baseline="0">
                <a:effectLst/>
              </a:rPr>
              <a:t>After bottoming out in the spring, U.S. vegetable oils prices are rallying</a:t>
            </a:r>
            <a:r>
              <a:rPr lang="en-US" sz="1050" b="1"/>
              <a:t> </a:t>
            </a:r>
          </a:p>
        </c:rich>
      </c:tx>
      <c:layout>
        <c:manualLayout>
          <c:xMode val="edge"/>
          <c:yMode val="edge"/>
          <c:x val="6.4498452116562355E-2"/>
          <c:y val="1.0147198095083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lineChart>
        <c:grouping val="standard"/>
        <c:varyColors val="0"/>
        <c:ser>
          <c:idx val="2"/>
          <c:order val="0"/>
          <c:tx>
            <c:strRef>
              <c:f>'Oil Crops Chart Gallery Fig 1'!$B$2</c:f>
              <c:strCache>
                <c:ptCount val="1"/>
                <c:pt idx="0">
                  <c:v>Soybean oil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'Oil Crops Chart Gallery Fig 1'!$A$4:$A$17</c:f>
              <c:numCache>
                <c:formatCode>[$-409]mmm\-yy;@</c:formatCode>
                <c:ptCount val="14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</c:numCache>
            </c:numRef>
          </c:cat>
          <c:val>
            <c:numRef>
              <c:f>'Oil Crops Chart Gallery Fig 1'!$B$4:$B$17</c:f>
              <c:numCache>
                <c:formatCode>_(* #,##0.00_);_(* \(#,##0.00\);_(* "-"??_);_(@_)</c:formatCode>
                <c:ptCount val="14"/>
                <c:pt idx="0">
                  <c:v>30.14</c:v>
                </c:pt>
                <c:pt idx="1">
                  <c:v>30.62</c:v>
                </c:pt>
                <c:pt idx="2">
                  <c:v>32.270000000000003</c:v>
                </c:pt>
                <c:pt idx="3">
                  <c:v>33.04</c:v>
                </c:pt>
                <c:pt idx="4">
                  <c:v>30.26</c:v>
                </c:pt>
                <c:pt idx="5">
                  <c:v>27.04</c:v>
                </c:pt>
                <c:pt idx="6">
                  <c:v>25.69</c:v>
                </c:pt>
                <c:pt idx="7">
                  <c:v>25.27</c:v>
                </c:pt>
                <c:pt idx="8">
                  <c:v>26.61</c:v>
                </c:pt>
                <c:pt idx="9">
                  <c:v>28.71</c:v>
                </c:pt>
                <c:pt idx="10">
                  <c:v>32.130000000000003</c:v>
                </c:pt>
                <c:pt idx="11">
                  <c:v>34.200000000000003</c:v>
                </c:pt>
                <c:pt idx="12">
                  <c:v>33.92</c:v>
                </c:pt>
                <c:pt idx="13">
                  <c:v>37.79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ser>
          <c:idx val="0"/>
          <c:order val="1"/>
          <c:tx>
            <c:strRef>
              <c:f>'Oil Crops Chart Gallery Fig 1'!$C$2</c:f>
              <c:strCache>
                <c:ptCount val="1"/>
                <c:pt idx="0">
                  <c:v>Canola oil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'Oil Crops Chart Gallery Fig 1'!$A$4:$A$17</c:f>
              <c:numCache>
                <c:formatCode>[$-409]mmm\-yy;@</c:formatCode>
                <c:ptCount val="14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</c:numCache>
            </c:numRef>
          </c:cat>
          <c:val>
            <c:numRef>
              <c:f>'Oil Crops Chart Gallery Fig 1'!$C$4:$C$17</c:f>
              <c:numCache>
                <c:formatCode>_(* #,##0.00_);_(* \(#,##0.00\);_(* "-"??_);_(@_)</c:formatCode>
                <c:ptCount val="14"/>
                <c:pt idx="0">
                  <c:v>36.31</c:v>
                </c:pt>
                <c:pt idx="1">
                  <c:v>36.15</c:v>
                </c:pt>
                <c:pt idx="2">
                  <c:v>38.06</c:v>
                </c:pt>
                <c:pt idx="3">
                  <c:v>37.9</c:v>
                </c:pt>
                <c:pt idx="4">
                  <c:v>35.5</c:v>
                </c:pt>
                <c:pt idx="5">
                  <c:v>32.880000000000003</c:v>
                </c:pt>
                <c:pt idx="6">
                  <c:v>32.380000000000003</c:v>
                </c:pt>
                <c:pt idx="7">
                  <c:v>32.4</c:v>
                </c:pt>
                <c:pt idx="8">
                  <c:v>36.630000000000003</c:v>
                </c:pt>
                <c:pt idx="9">
                  <c:v>40.5</c:v>
                </c:pt>
                <c:pt idx="10">
                  <c:v>47.81</c:v>
                </c:pt>
                <c:pt idx="11">
                  <c:v>47.94</c:v>
                </c:pt>
                <c:pt idx="12">
                  <c:v>44.35</c:v>
                </c:pt>
                <c:pt idx="13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B-4D91-A61F-574EBC1A1DDC}"/>
            </c:ext>
          </c:extLst>
        </c:ser>
        <c:ser>
          <c:idx val="1"/>
          <c:order val="2"/>
          <c:tx>
            <c:strRef>
              <c:f>'Oil Crops Chart Gallery Fig 1'!$D$2</c:f>
              <c:strCache>
                <c:ptCount val="1"/>
                <c:pt idx="0">
                  <c:v>Cottonseed oil</c:v>
                </c:pt>
              </c:strCache>
            </c:strRef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'Oil Crops Chart Gallery Fig 1'!$A$4:$A$17</c:f>
              <c:numCache>
                <c:formatCode>[$-409]mmm\-yy;@</c:formatCode>
                <c:ptCount val="14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</c:numCache>
            </c:numRef>
          </c:cat>
          <c:val>
            <c:numRef>
              <c:f>'Oil Crops Chart Gallery Fig 1'!$D$4:$D$17</c:f>
              <c:numCache>
                <c:formatCode>_(* #,##0.00_);_(* \(#,##0.00\);_(* "-"??_);_(@_)</c:formatCode>
                <c:ptCount val="14"/>
                <c:pt idx="0">
                  <c:v>37.94</c:v>
                </c:pt>
                <c:pt idx="1">
                  <c:v>38.4</c:v>
                </c:pt>
                <c:pt idx="2">
                  <c:v>40.25</c:v>
                </c:pt>
                <c:pt idx="3">
                  <c:v>40.1</c:v>
                </c:pt>
                <c:pt idx="4">
                  <c:v>38.5</c:v>
                </c:pt>
                <c:pt idx="5">
                  <c:v>36.19</c:v>
                </c:pt>
                <c:pt idx="6">
                  <c:v>37.31</c:v>
                </c:pt>
                <c:pt idx="7">
                  <c:v>37.200000000000003</c:v>
                </c:pt>
                <c:pt idx="8">
                  <c:v>36.75</c:v>
                </c:pt>
                <c:pt idx="9">
                  <c:v>43</c:v>
                </c:pt>
                <c:pt idx="10">
                  <c:v>46.81</c:v>
                </c:pt>
                <c:pt idx="11">
                  <c:v>49.69</c:v>
                </c:pt>
                <c:pt idx="12">
                  <c:v>48.35</c:v>
                </c:pt>
                <c:pt idx="13">
                  <c:v>54.44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B-4D91-A61F-574EBC1A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</a:t>
                </a:r>
                <a:r>
                  <a:rPr lang="en-US" sz="800" i="0"/>
                  <a:t>Agricultural Marketing Service</a:t>
                </a:r>
                <a:r>
                  <a:rPr lang="en-US" sz="800" i="1"/>
                  <a:t>, Monthly Feedstuff Prices </a:t>
                </a:r>
                <a:r>
                  <a:rPr lang="en-US" sz="800" i="0"/>
                  <a:t>and</a:t>
                </a:r>
                <a:r>
                  <a:rPr lang="en-US" sz="800" i="1"/>
                  <a:t> Milling and Baking News.</a:t>
                </a:r>
                <a:endParaRPr lang="en-US" sz="800" b="0" i="1" u="none" strike="noStrike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4.5593074904098536E-2"/>
              <c:y val="0.94615228508807547"/>
            </c:manualLayout>
          </c:layout>
          <c:overlay val="0"/>
        </c:title>
        <c:numFmt formatCode="[$-409]mmm\-yy;@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Unit val="3"/>
        <c:majorTimeUnit val="months"/>
        <c:minorUnit val="1"/>
        <c:minorTimeUnit val="months"/>
      </c:dateAx>
      <c:valAx>
        <c:axId val="-494674736"/>
        <c:scaling>
          <c:orientation val="minMax"/>
          <c:max val="60"/>
          <c:min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Cents per pound</a:t>
                </a:r>
              </a:p>
              <a:p>
                <a:pPr>
                  <a:defRPr sz="900"/>
                </a:pPr>
                <a:endParaRPr lang="en-US" sz="900"/>
              </a:p>
            </c:rich>
          </c:tx>
          <c:layout>
            <c:manualLayout>
              <c:xMode val="edge"/>
              <c:yMode val="edge"/>
              <c:x val="6.3038730735581125E-2"/>
              <c:y val="0.10007414021700896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8341156874621442"/>
          <c:y val="0.89056498092377623"/>
          <c:w val="0.5718860623191333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 b="1"/>
              <a:t>International</a:t>
            </a:r>
            <a:r>
              <a:rPr lang="en-US" sz="1050" b="1" baseline="0"/>
              <a:t> vegetable oil prices are climbing again</a:t>
            </a:r>
            <a:endParaRPr lang="en-US" sz="1050" b="1"/>
          </a:p>
        </c:rich>
      </c:tx>
      <c:layout>
        <c:manualLayout>
          <c:xMode val="edge"/>
          <c:yMode val="edge"/>
          <c:x val="4.5267682885793123E-2"/>
          <c:y val="3.27439574662792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lineChart>
        <c:grouping val="standard"/>
        <c:varyColors val="0"/>
        <c:ser>
          <c:idx val="2"/>
          <c:order val="0"/>
          <c:tx>
            <c:strRef>
              <c:f>'Oil Crops Chart Gallery Fig 2'!$B$1:$B$2</c:f>
              <c:strCache>
                <c:ptCount val="2"/>
                <c:pt idx="0">
                  <c:v>Malaysian</c:v>
                </c:pt>
                <c:pt idx="1">
                  <c:v>palm oil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'Oil Crops Chart Gallery Fig 2'!$A$4:$A$113</c:f>
              <c:numCache>
                <c:formatCode>mmm\-yyyy</c:formatCode>
                <c:ptCount val="110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  <c:pt idx="73">
                  <c:v>43040</c:v>
                </c:pt>
                <c:pt idx="74">
                  <c:v>43070</c:v>
                </c:pt>
                <c:pt idx="75">
                  <c:v>43101</c:v>
                </c:pt>
                <c:pt idx="76">
                  <c:v>43132</c:v>
                </c:pt>
                <c:pt idx="77">
                  <c:v>43160</c:v>
                </c:pt>
                <c:pt idx="78">
                  <c:v>43191</c:v>
                </c:pt>
                <c:pt idx="79">
                  <c:v>43221</c:v>
                </c:pt>
                <c:pt idx="80">
                  <c:v>43252</c:v>
                </c:pt>
                <c:pt idx="81">
                  <c:v>43282</c:v>
                </c:pt>
                <c:pt idx="82">
                  <c:v>43313</c:v>
                </c:pt>
                <c:pt idx="83">
                  <c:v>43344</c:v>
                </c:pt>
                <c:pt idx="84">
                  <c:v>43374</c:v>
                </c:pt>
                <c:pt idx="85">
                  <c:v>43405</c:v>
                </c:pt>
                <c:pt idx="86">
                  <c:v>43435</c:v>
                </c:pt>
                <c:pt idx="87">
                  <c:v>43466</c:v>
                </c:pt>
                <c:pt idx="88">
                  <c:v>43497</c:v>
                </c:pt>
                <c:pt idx="89">
                  <c:v>43525</c:v>
                </c:pt>
                <c:pt idx="90">
                  <c:v>43556</c:v>
                </c:pt>
                <c:pt idx="91">
                  <c:v>43586</c:v>
                </c:pt>
                <c:pt idx="92">
                  <c:v>43617</c:v>
                </c:pt>
                <c:pt idx="93">
                  <c:v>43647</c:v>
                </c:pt>
                <c:pt idx="94">
                  <c:v>43678</c:v>
                </c:pt>
                <c:pt idx="95">
                  <c:v>43709</c:v>
                </c:pt>
                <c:pt idx="96">
                  <c:v>43739</c:v>
                </c:pt>
                <c:pt idx="97">
                  <c:v>43770</c:v>
                </c:pt>
                <c:pt idx="98">
                  <c:v>43800</c:v>
                </c:pt>
                <c:pt idx="99">
                  <c:v>43831</c:v>
                </c:pt>
                <c:pt idx="100">
                  <c:v>43862</c:v>
                </c:pt>
                <c:pt idx="101">
                  <c:v>43891</c:v>
                </c:pt>
                <c:pt idx="102">
                  <c:v>43922</c:v>
                </c:pt>
                <c:pt idx="103">
                  <c:v>43952</c:v>
                </c:pt>
                <c:pt idx="104">
                  <c:v>43983</c:v>
                </c:pt>
                <c:pt idx="105">
                  <c:v>44013</c:v>
                </c:pt>
                <c:pt idx="106">
                  <c:v>44044</c:v>
                </c:pt>
                <c:pt idx="107">
                  <c:v>44075</c:v>
                </c:pt>
                <c:pt idx="108">
                  <c:v>44105</c:v>
                </c:pt>
                <c:pt idx="109">
                  <c:v>44136</c:v>
                </c:pt>
              </c:numCache>
            </c:numRef>
          </c:cat>
          <c:val>
            <c:numRef>
              <c:f>'Oil Crops Chart Gallery Fig 2'!$B$4:$B$114</c:f>
              <c:numCache>
                <c:formatCode>#,##0_);\(#,##0\)</c:formatCode>
                <c:ptCount val="111"/>
                <c:pt idx="0">
                  <c:v>970</c:v>
                </c:pt>
                <c:pt idx="1">
                  <c:v>1034</c:v>
                </c:pt>
                <c:pt idx="2">
                  <c:v>1053</c:v>
                </c:pt>
                <c:pt idx="3">
                  <c:v>1056</c:v>
                </c:pt>
                <c:pt idx="4">
                  <c:v>1070</c:v>
                </c:pt>
                <c:pt idx="5">
                  <c:v>1126</c:v>
                </c:pt>
                <c:pt idx="6">
                  <c:v>1166</c:v>
                </c:pt>
                <c:pt idx="7">
                  <c:v>1062</c:v>
                </c:pt>
                <c:pt idx="8">
                  <c:v>965</c:v>
                </c:pt>
                <c:pt idx="9">
                  <c:v>990</c:v>
                </c:pt>
                <c:pt idx="10">
                  <c:v>960</c:v>
                </c:pt>
                <c:pt idx="11">
                  <c:v>935</c:v>
                </c:pt>
                <c:pt idx="12">
                  <c:v>823</c:v>
                </c:pt>
                <c:pt idx="13">
                  <c:v>799</c:v>
                </c:pt>
                <c:pt idx="14">
                  <c:v>763</c:v>
                </c:pt>
                <c:pt idx="15">
                  <c:v>812</c:v>
                </c:pt>
                <c:pt idx="16">
                  <c:v>828</c:v>
                </c:pt>
                <c:pt idx="17">
                  <c:v>804</c:v>
                </c:pt>
                <c:pt idx="18">
                  <c:v>793</c:v>
                </c:pt>
                <c:pt idx="19">
                  <c:v>795</c:v>
                </c:pt>
                <c:pt idx="20">
                  <c:v>796</c:v>
                </c:pt>
                <c:pt idx="21">
                  <c:v>765</c:v>
                </c:pt>
                <c:pt idx="22">
                  <c:v>757</c:v>
                </c:pt>
                <c:pt idx="23">
                  <c:v>760</c:v>
                </c:pt>
                <c:pt idx="24">
                  <c:v>795</c:v>
                </c:pt>
                <c:pt idx="25">
                  <c:v>835</c:v>
                </c:pt>
                <c:pt idx="26">
                  <c:v>813</c:v>
                </c:pt>
                <c:pt idx="27">
                  <c:v>796</c:v>
                </c:pt>
                <c:pt idx="28">
                  <c:v>846</c:v>
                </c:pt>
                <c:pt idx="29">
                  <c:v>890</c:v>
                </c:pt>
                <c:pt idx="30">
                  <c:v>858</c:v>
                </c:pt>
                <c:pt idx="31">
                  <c:v>828</c:v>
                </c:pt>
                <c:pt idx="32">
                  <c:v>793</c:v>
                </c:pt>
                <c:pt idx="33">
                  <c:v>782</c:v>
                </c:pt>
                <c:pt idx="34">
                  <c:v>701</c:v>
                </c:pt>
                <c:pt idx="35">
                  <c:v>694</c:v>
                </c:pt>
                <c:pt idx="36">
                  <c:v>693</c:v>
                </c:pt>
                <c:pt idx="37">
                  <c:v>693</c:v>
                </c:pt>
                <c:pt idx="38">
                  <c:v>656</c:v>
                </c:pt>
                <c:pt idx="39">
                  <c:v>652</c:v>
                </c:pt>
                <c:pt idx="40">
                  <c:v>662</c:v>
                </c:pt>
                <c:pt idx="41">
                  <c:v>629</c:v>
                </c:pt>
                <c:pt idx="42">
                  <c:v>610</c:v>
                </c:pt>
                <c:pt idx="43">
                  <c:v>628</c:v>
                </c:pt>
                <c:pt idx="44">
                  <c:v>638</c:v>
                </c:pt>
                <c:pt idx="45">
                  <c:v>610</c:v>
                </c:pt>
                <c:pt idx="46">
                  <c:v>524</c:v>
                </c:pt>
                <c:pt idx="47">
                  <c:v>521</c:v>
                </c:pt>
                <c:pt idx="48">
                  <c:v>565</c:v>
                </c:pt>
                <c:pt idx="49">
                  <c:v>541</c:v>
                </c:pt>
                <c:pt idx="50">
                  <c:v>539</c:v>
                </c:pt>
                <c:pt idx="51">
                  <c:v>550</c:v>
                </c:pt>
                <c:pt idx="52">
                  <c:v>613</c:v>
                </c:pt>
                <c:pt idx="53">
                  <c:v>654</c:v>
                </c:pt>
                <c:pt idx="54">
                  <c:v>707</c:v>
                </c:pt>
                <c:pt idx="55">
                  <c:v>686</c:v>
                </c:pt>
                <c:pt idx="56">
                  <c:v>640</c:v>
                </c:pt>
                <c:pt idx="57">
                  <c:v>615</c:v>
                </c:pt>
                <c:pt idx="58">
                  <c:v>704</c:v>
                </c:pt>
                <c:pt idx="59">
                  <c:v>716</c:v>
                </c:pt>
                <c:pt idx="60">
                  <c:v>677</c:v>
                </c:pt>
                <c:pt idx="61">
                  <c:v>708</c:v>
                </c:pt>
                <c:pt idx="62">
                  <c:v>745</c:v>
                </c:pt>
                <c:pt idx="63">
                  <c:v>759</c:v>
                </c:pt>
                <c:pt idx="64">
                  <c:v>740</c:v>
                </c:pt>
                <c:pt idx="65">
                  <c:v>713</c:v>
                </c:pt>
                <c:pt idx="66">
                  <c:v>681</c:v>
                </c:pt>
                <c:pt idx="67">
                  <c:v>698</c:v>
                </c:pt>
                <c:pt idx="68">
                  <c:v>670</c:v>
                </c:pt>
                <c:pt idx="69">
                  <c:v>658</c:v>
                </c:pt>
                <c:pt idx="70">
                  <c:v>651</c:v>
                </c:pt>
                <c:pt idx="71">
                  <c:v>690</c:v>
                </c:pt>
                <c:pt idx="72">
                  <c:v>681</c:v>
                </c:pt>
                <c:pt idx="73">
                  <c:v>670</c:v>
                </c:pt>
                <c:pt idx="74">
                  <c:v>619</c:v>
                </c:pt>
                <c:pt idx="75">
                  <c:v>650</c:v>
                </c:pt>
                <c:pt idx="76">
                  <c:v>654</c:v>
                </c:pt>
                <c:pt idx="77">
                  <c:v>658</c:v>
                </c:pt>
                <c:pt idx="78">
                  <c:v>651</c:v>
                </c:pt>
                <c:pt idx="79">
                  <c:v>639</c:v>
                </c:pt>
                <c:pt idx="80">
                  <c:v>605</c:v>
                </c:pt>
                <c:pt idx="81">
                  <c:v>570</c:v>
                </c:pt>
                <c:pt idx="82">
                  <c:v>559</c:v>
                </c:pt>
                <c:pt idx="83">
                  <c:v>552</c:v>
                </c:pt>
                <c:pt idx="84">
                  <c:v>539</c:v>
                </c:pt>
                <c:pt idx="85">
                  <c:v>492</c:v>
                </c:pt>
                <c:pt idx="86">
                  <c:v>489</c:v>
                </c:pt>
                <c:pt idx="87">
                  <c:v>538</c:v>
                </c:pt>
                <c:pt idx="88">
                  <c:v>556</c:v>
                </c:pt>
                <c:pt idx="89">
                  <c:v>523</c:v>
                </c:pt>
                <c:pt idx="90">
                  <c:v>538</c:v>
                </c:pt>
                <c:pt idx="91">
                  <c:v>511</c:v>
                </c:pt>
                <c:pt idx="92">
                  <c:v>502</c:v>
                </c:pt>
                <c:pt idx="93">
                  <c:v>494</c:v>
                </c:pt>
                <c:pt idx="94">
                  <c:v>536</c:v>
                </c:pt>
                <c:pt idx="95">
                  <c:v>532</c:v>
                </c:pt>
                <c:pt idx="96">
                  <c:v>547</c:v>
                </c:pt>
                <c:pt idx="97">
                  <c:v>641</c:v>
                </c:pt>
                <c:pt idx="98">
                  <c:v>718</c:v>
                </c:pt>
                <c:pt idx="99">
                  <c:v>761</c:v>
                </c:pt>
                <c:pt idx="100">
                  <c:v>677</c:v>
                </c:pt>
                <c:pt idx="101">
                  <c:v>589</c:v>
                </c:pt>
                <c:pt idx="102">
                  <c:v>563</c:v>
                </c:pt>
                <c:pt idx="103">
                  <c:v>529</c:v>
                </c:pt>
                <c:pt idx="104">
                  <c:v>605</c:v>
                </c:pt>
                <c:pt idx="105">
                  <c:v>643</c:v>
                </c:pt>
                <c:pt idx="106">
                  <c:v>715</c:v>
                </c:pt>
                <c:pt idx="107">
                  <c:v>746</c:v>
                </c:pt>
                <c:pt idx="108">
                  <c:v>767</c:v>
                </c:pt>
                <c:pt idx="109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2-40E3-B52D-20BE5FD581EB}"/>
            </c:ext>
          </c:extLst>
        </c:ser>
        <c:ser>
          <c:idx val="0"/>
          <c:order val="1"/>
          <c:tx>
            <c:strRef>
              <c:f>'Oil Crops Chart Gallery Fig 2'!$C$1:$C$2</c:f>
              <c:strCache>
                <c:ptCount val="2"/>
                <c:pt idx="0">
                  <c:v>Argentine</c:v>
                </c:pt>
                <c:pt idx="1">
                  <c:v>soybean oil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'Oil Crops Chart Gallery Fig 2'!$A$4:$A$113</c:f>
              <c:numCache>
                <c:formatCode>mmm\-yyyy</c:formatCode>
                <c:ptCount val="110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  <c:pt idx="73">
                  <c:v>43040</c:v>
                </c:pt>
                <c:pt idx="74">
                  <c:v>43070</c:v>
                </c:pt>
                <c:pt idx="75">
                  <c:v>43101</c:v>
                </c:pt>
                <c:pt idx="76">
                  <c:v>43132</c:v>
                </c:pt>
                <c:pt idx="77">
                  <c:v>43160</c:v>
                </c:pt>
                <c:pt idx="78">
                  <c:v>43191</c:v>
                </c:pt>
                <c:pt idx="79">
                  <c:v>43221</c:v>
                </c:pt>
                <c:pt idx="80">
                  <c:v>43252</c:v>
                </c:pt>
                <c:pt idx="81">
                  <c:v>43282</c:v>
                </c:pt>
                <c:pt idx="82">
                  <c:v>43313</c:v>
                </c:pt>
                <c:pt idx="83">
                  <c:v>43344</c:v>
                </c:pt>
                <c:pt idx="84">
                  <c:v>43374</c:v>
                </c:pt>
                <c:pt idx="85">
                  <c:v>43405</c:v>
                </c:pt>
                <c:pt idx="86">
                  <c:v>43435</c:v>
                </c:pt>
                <c:pt idx="87">
                  <c:v>43466</c:v>
                </c:pt>
                <c:pt idx="88">
                  <c:v>43497</c:v>
                </c:pt>
                <c:pt idx="89">
                  <c:v>43525</c:v>
                </c:pt>
                <c:pt idx="90">
                  <c:v>43556</c:v>
                </c:pt>
                <c:pt idx="91">
                  <c:v>43586</c:v>
                </c:pt>
                <c:pt idx="92">
                  <c:v>43617</c:v>
                </c:pt>
                <c:pt idx="93">
                  <c:v>43647</c:v>
                </c:pt>
                <c:pt idx="94">
                  <c:v>43678</c:v>
                </c:pt>
                <c:pt idx="95">
                  <c:v>43709</c:v>
                </c:pt>
                <c:pt idx="96">
                  <c:v>43739</c:v>
                </c:pt>
                <c:pt idx="97">
                  <c:v>43770</c:v>
                </c:pt>
                <c:pt idx="98">
                  <c:v>43800</c:v>
                </c:pt>
                <c:pt idx="99">
                  <c:v>43831</c:v>
                </c:pt>
                <c:pt idx="100">
                  <c:v>43862</c:v>
                </c:pt>
                <c:pt idx="101">
                  <c:v>43891</c:v>
                </c:pt>
                <c:pt idx="102">
                  <c:v>43922</c:v>
                </c:pt>
                <c:pt idx="103">
                  <c:v>43952</c:v>
                </c:pt>
                <c:pt idx="104">
                  <c:v>43983</c:v>
                </c:pt>
                <c:pt idx="105">
                  <c:v>44013</c:v>
                </c:pt>
                <c:pt idx="106">
                  <c:v>44044</c:v>
                </c:pt>
                <c:pt idx="107">
                  <c:v>44075</c:v>
                </c:pt>
                <c:pt idx="108">
                  <c:v>44105</c:v>
                </c:pt>
                <c:pt idx="109">
                  <c:v>44136</c:v>
                </c:pt>
              </c:numCache>
            </c:numRef>
          </c:cat>
          <c:val>
            <c:numRef>
              <c:f>'Oil Crops Chart Gallery Fig 2'!$C$4:$C$114</c:f>
              <c:numCache>
                <c:formatCode>#,##0_);\(#,##0\)</c:formatCode>
                <c:ptCount val="111"/>
                <c:pt idx="0">
                  <c:v>1129</c:v>
                </c:pt>
                <c:pt idx="1">
                  <c:v>1136</c:v>
                </c:pt>
                <c:pt idx="2">
                  <c:v>1111</c:v>
                </c:pt>
                <c:pt idx="3">
                  <c:v>1133</c:v>
                </c:pt>
                <c:pt idx="4">
                  <c:v>1175</c:v>
                </c:pt>
                <c:pt idx="5">
                  <c:v>1190</c:v>
                </c:pt>
                <c:pt idx="6">
                  <c:v>1245</c:v>
                </c:pt>
                <c:pt idx="7">
                  <c:v>1150</c:v>
                </c:pt>
                <c:pt idx="8">
                  <c:v>1113</c:v>
                </c:pt>
                <c:pt idx="9">
                  <c:v>1188</c:v>
                </c:pt>
                <c:pt idx="10">
                  <c:v>1199</c:v>
                </c:pt>
                <c:pt idx="11">
                  <c:v>1201</c:v>
                </c:pt>
                <c:pt idx="12">
                  <c:v>1092</c:v>
                </c:pt>
                <c:pt idx="13">
                  <c:v>1084</c:v>
                </c:pt>
                <c:pt idx="14">
                  <c:v>1112</c:v>
                </c:pt>
                <c:pt idx="15">
                  <c:v>1134</c:v>
                </c:pt>
                <c:pt idx="16">
                  <c:v>1117</c:v>
                </c:pt>
                <c:pt idx="17">
                  <c:v>1039</c:v>
                </c:pt>
                <c:pt idx="18">
                  <c:v>1012</c:v>
                </c:pt>
                <c:pt idx="19">
                  <c:v>991</c:v>
                </c:pt>
                <c:pt idx="20">
                  <c:v>944</c:v>
                </c:pt>
                <c:pt idx="21">
                  <c:v>879</c:v>
                </c:pt>
                <c:pt idx="22">
                  <c:v>875</c:v>
                </c:pt>
                <c:pt idx="23">
                  <c:v>887</c:v>
                </c:pt>
                <c:pt idx="24">
                  <c:v>908</c:v>
                </c:pt>
                <c:pt idx="25">
                  <c:v>932</c:v>
                </c:pt>
                <c:pt idx="26">
                  <c:v>895</c:v>
                </c:pt>
                <c:pt idx="27">
                  <c:v>848</c:v>
                </c:pt>
                <c:pt idx="28">
                  <c:v>879</c:v>
                </c:pt>
                <c:pt idx="29">
                  <c:v>904</c:v>
                </c:pt>
                <c:pt idx="30">
                  <c:v>880</c:v>
                </c:pt>
                <c:pt idx="31">
                  <c:v>861</c:v>
                </c:pt>
                <c:pt idx="32">
                  <c:v>879</c:v>
                </c:pt>
                <c:pt idx="33">
                  <c:v>858</c:v>
                </c:pt>
                <c:pt idx="34">
                  <c:v>825</c:v>
                </c:pt>
                <c:pt idx="35">
                  <c:v>772</c:v>
                </c:pt>
                <c:pt idx="36">
                  <c:v>770</c:v>
                </c:pt>
                <c:pt idx="37">
                  <c:v>772</c:v>
                </c:pt>
                <c:pt idx="38">
                  <c:v>772</c:v>
                </c:pt>
                <c:pt idx="39">
                  <c:v>784</c:v>
                </c:pt>
                <c:pt idx="40">
                  <c:v>723</c:v>
                </c:pt>
                <c:pt idx="41">
                  <c:v>663</c:v>
                </c:pt>
                <c:pt idx="42">
                  <c:v>665</c:v>
                </c:pt>
                <c:pt idx="43">
                  <c:v>701</c:v>
                </c:pt>
                <c:pt idx="44">
                  <c:v>708</c:v>
                </c:pt>
                <c:pt idx="45">
                  <c:v>652</c:v>
                </c:pt>
                <c:pt idx="46">
                  <c:v>632</c:v>
                </c:pt>
                <c:pt idx="47">
                  <c:v>616</c:v>
                </c:pt>
                <c:pt idx="48">
                  <c:v>665</c:v>
                </c:pt>
                <c:pt idx="49">
                  <c:v>675</c:v>
                </c:pt>
                <c:pt idx="50">
                  <c:v>680</c:v>
                </c:pt>
                <c:pt idx="51">
                  <c:v>651</c:v>
                </c:pt>
                <c:pt idx="52">
                  <c:v>675</c:v>
                </c:pt>
                <c:pt idx="53">
                  <c:v>687</c:v>
                </c:pt>
                <c:pt idx="54">
                  <c:v>731</c:v>
                </c:pt>
                <c:pt idx="55">
                  <c:v>710</c:v>
                </c:pt>
                <c:pt idx="56">
                  <c:v>709</c:v>
                </c:pt>
                <c:pt idx="57">
                  <c:v>688</c:v>
                </c:pt>
                <c:pt idx="58">
                  <c:v>747</c:v>
                </c:pt>
                <c:pt idx="59">
                  <c:v>752</c:v>
                </c:pt>
                <c:pt idx="60">
                  <c:v>782</c:v>
                </c:pt>
                <c:pt idx="61">
                  <c:v>796</c:v>
                </c:pt>
                <c:pt idx="62">
                  <c:v>841</c:v>
                </c:pt>
                <c:pt idx="63">
                  <c:v>812</c:v>
                </c:pt>
                <c:pt idx="64">
                  <c:v>762</c:v>
                </c:pt>
                <c:pt idx="65">
                  <c:v>712</c:v>
                </c:pt>
                <c:pt idx="66">
                  <c:v>699</c:v>
                </c:pt>
                <c:pt idx="67">
                  <c:v>734</c:v>
                </c:pt>
                <c:pt idx="68">
                  <c:v>741</c:v>
                </c:pt>
                <c:pt idx="69">
                  <c:v>744</c:v>
                </c:pt>
                <c:pt idx="70">
                  <c:v>758</c:v>
                </c:pt>
                <c:pt idx="71">
                  <c:v>779</c:v>
                </c:pt>
                <c:pt idx="72">
                  <c:v>775</c:v>
                </c:pt>
                <c:pt idx="73">
                  <c:v>786</c:v>
                </c:pt>
                <c:pt idx="74">
                  <c:v>758</c:v>
                </c:pt>
                <c:pt idx="75">
                  <c:v>766</c:v>
                </c:pt>
                <c:pt idx="76">
                  <c:v>753</c:v>
                </c:pt>
                <c:pt idx="77">
                  <c:v>749</c:v>
                </c:pt>
                <c:pt idx="78">
                  <c:v>735</c:v>
                </c:pt>
                <c:pt idx="79">
                  <c:v>719</c:v>
                </c:pt>
                <c:pt idx="80">
                  <c:v>680</c:v>
                </c:pt>
                <c:pt idx="81">
                  <c:v>660</c:v>
                </c:pt>
                <c:pt idx="82">
                  <c:v>641</c:v>
                </c:pt>
                <c:pt idx="83">
                  <c:v>642</c:v>
                </c:pt>
                <c:pt idx="84">
                  <c:v>658</c:v>
                </c:pt>
                <c:pt idx="85">
                  <c:v>633</c:v>
                </c:pt>
                <c:pt idx="86">
                  <c:v>617</c:v>
                </c:pt>
                <c:pt idx="87">
                  <c:v>651</c:v>
                </c:pt>
                <c:pt idx="88">
                  <c:v>693</c:v>
                </c:pt>
                <c:pt idx="89">
                  <c:v>653</c:v>
                </c:pt>
                <c:pt idx="90">
                  <c:v>629</c:v>
                </c:pt>
                <c:pt idx="91">
                  <c:v>637</c:v>
                </c:pt>
                <c:pt idx="92">
                  <c:v>639</c:v>
                </c:pt>
                <c:pt idx="93">
                  <c:v>637</c:v>
                </c:pt>
                <c:pt idx="94">
                  <c:v>674</c:v>
                </c:pt>
                <c:pt idx="95">
                  <c:v>669</c:v>
                </c:pt>
                <c:pt idx="96">
                  <c:v>665</c:v>
                </c:pt>
                <c:pt idx="97">
                  <c:v>692</c:v>
                </c:pt>
                <c:pt idx="98">
                  <c:v>782</c:v>
                </c:pt>
                <c:pt idx="99">
                  <c:v>799</c:v>
                </c:pt>
                <c:pt idx="100">
                  <c:v>726</c:v>
                </c:pt>
                <c:pt idx="101">
                  <c:v>611</c:v>
                </c:pt>
                <c:pt idx="102">
                  <c:v>589</c:v>
                </c:pt>
                <c:pt idx="103">
                  <c:v>595</c:v>
                </c:pt>
                <c:pt idx="104">
                  <c:v>659</c:v>
                </c:pt>
                <c:pt idx="105">
                  <c:v>709</c:v>
                </c:pt>
                <c:pt idx="106">
                  <c:v>746</c:v>
                </c:pt>
                <c:pt idx="107">
                  <c:v>799</c:v>
                </c:pt>
                <c:pt idx="108">
                  <c:v>821</c:v>
                </c:pt>
                <c:pt idx="109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2-40E3-B52D-20BE5FD581EB}"/>
            </c:ext>
          </c:extLst>
        </c:ser>
        <c:ser>
          <c:idx val="1"/>
          <c:order val="2"/>
          <c:tx>
            <c:strRef>
              <c:f>'Oil Crops Chart Gallery Fig 2'!$D$1:$D$2</c:f>
              <c:strCache>
                <c:ptCount val="2"/>
                <c:pt idx="0">
                  <c:v>EU</c:v>
                </c:pt>
                <c:pt idx="1">
                  <c:v>rapeseed oil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'Oil Crops Chart Gallery Fig 2'!$A$4:$A$113</c:f>
              <c:numCache>
                <c:formatCode>mmm\-yyyy</c:formatCode>
                <c:ptCount val="110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  <c:pt idx="73">
                  <c:v>43040</c:v>
                </c:pt>
                <c:pt idx="74">
                  <c:v>43070</c:v>
                </c:pt>
                <c:pt idx="75">
                  <c:v>43101</c:v>
                </c:pt>
                <c:pt idx="76">
                  <c:v>43132</c:v>
                </c:pt>
                <c:pt idx="77">
                  <c:v>43160</c:v>
                </c:pt>
                <c:pt idx="78">
                  <c:v>43191</c:v>
                </c:pt>
                <c:pt idx="79">
                  <c:v>43221</c:v>
                </c:pt>
                <c:pt idx="80">
                  <c:v>43252</c:v>
                </c:pt>
                <c:pt idx="81">
                  <c:v>43282</c:v>
                </c:pt>
                <c:pt idx="82">
                  <c:v>43313</c:v>
                </c:pt>
                <c:pt idx="83">
                  <c:v>43344</c:v>
                </c:pt>
                <c:pt idx="84">
                  <c:v>43374</c:v>
                </c:pt>
                <c:pt idx="85">
                  <c:v>43405</c:v>
                </c:pt>
                <c:pt idx="86">
                  <c:v>43435</c:v>
                </c:pt>
                <c:pt idx="87">
                  <c:v>43466</c:v>
                </c:pt>
                <c:pt idx="88">
                  <c:v>43497</c:v>
                </c:pt>
                <c:pt idx="89">
                  <c:v>43525</c:v>
                </c:pt>
                <c:pt idx="90">
                  <c:v>43556</c:v>
                </c:pt>
                <c:pt idx="91">
                  <c:v>43586</c:v>
                </c:pt>
                <c:pt idx="92">
                  <c:v>43617</c:v>
                </c:pt>
                <c:pt idx="93">
                  <c:v>43647</c:v>
                </c:pt>
                <c:pt idx="94">
                  <c:v>43678</c:v>
                </c:pt>
                <c:pt idx="95">
                  <c:v>43709</c:v>
                </c:pt>
                <c:pt idx="96">
                  <c:v>43739</c:v>
                </c:pt>
                <c:pt idx="97">
                  <c:v>43770</c:v>
                </c:pt>
                <c:pt idx="98">
                  <c:v>43800</c:v>
                </c:pt>
                <c:pt idx="99">
                  <c:v>43831</c:v>
                </c:pt>
                <c:pt idx="100">
                  <c:v>43862</c:v>
                </c:pt>
                <c:pt idx="101">
                  <c:v>43891</c:v>
                </c:pt>
                <c:pt idx="102">
                  <c:v>43922</c:v>
                </c:pt>
                <c:pt idx="103">
                  <c:v>43952</c:v>
                </c:pt>
                <c:pt idx="104">
                  <c:v>43983</c:v>
                </c:pt>
                <c:pt idx="105">
                  <c:v>44013</c:v>
                </c:pt>
                <c:pt idx="106">
                  <c:v>44044</c:v>
                </c:pt>
                <c:pt idx="107">
                  <c:v>44075</c:v>
                </c:pt>
                <c:pt idx="108">
                  <c:v>44105</c:v>
                </c:pt>
                <c:pt idx="109">
                  <c:v>44136</c:v>
                </c:pt>
              </c:numCache>
            </c:numRef>
          </c:cat>
          <c:val>
            <c:numRef>
              <c:f>'Oil Crops Chart Gallery Fig 2'!$D$4:$D$114</c:f>
              <c:numCache>
                <c:formatCode>#,##0_);\(#,##0\)</c:formatCode>
                <c:ptCount val="111"/>
                <c:pt idx="0">
                  <c:v>1275</c:v>
                </c:pt>
                <c:pt idx="1">
                  <c:v>1290</c:v>
                </c:pt>
                <c:pt idx="2">
                  <c:v>1252</c:v>
                </c:pt>
                <c:pt idx="3">
                  <c:v>1257</c:v>
                </c:pt>
                <c:pt idx="4">
                  <c:v>1295</c:v>
                </c:pt>
                <c:pt idx="5">
                  <c:v>1292</c:v>
                </c:pt>
                <c:pt idx="6">
                  <c:v>1305</c:v>
                </c:pt>
                <c:pt idx="7">
                  <c:v>1235</c:v>
                </c:pt>
                <c:pt idx="8">
                  <c:v>1185</c:v>
                </c:pt>
                <c:pt idx="9">
                  <c:v>1212</c:v>
                </c:pt>
                <c:pt idx="10">
                  <c:v>1232</c:v>
                </c:pt>
                <c:pt idx="11">
                  <c:v>1271</c:v>
                </c:pt>
                <c:pt idx="12">
                  <c:v>1217</c:v>
                </c:pt>
                <c:pt idx="13">
                  <c:v>1188</c:v>
                </c:pt>
                <c:pt idx="14">
                  <c:v>1190</c:v>
                </c:pt>
                <c:pt idx="15">
                  <c:v>1214</c:v>
                </c:pt>
                <c:pt idx="16">
                  <c:v>1225</c:v>
                </c:pt>
                <c:pt idx="17">
                  <c:v>1162</c:v>
                </c:pt>
                <c:pt idx="18">
                  <c:v>1136</c:v>
                </c:pt>
                <c:pt idx="19">
                  <c:v>1116</c:v>
                </c:pt>
                <c:pt idx="20">
                  <c:v>1078</c:v>
                </c:pt>
                <c:pt idx="21">
                  <c:v>1012</c:v>
                </c:pt>
                <c:pt idx="22">
                  <c:v>997</c:v>
                </c:pt>
                <c:pt idx="23">
                  <c:v>994</c:v>
                </c:pt>
                <c:pt idx="24">
                  <c:v>1011</c:v>
                </c:pt>
                <c:pt idx="25">
                  <c:v>1025</c:v>
                </c:pt>
                <c:pt idx="26">
                  <c:v>1012</c:v>
                </c:pt>
                <c:pt idx="27">
                  <c:v>952</c:v>
                </c:pt>
                <c:pt idx="28">
                  <c:v>976</c:v>
                </c:pt>
                <c:pt idx="29">
                  <c:v>1019</c:v>
                </c:pt>
                <c:pt idx="30">
                  <c:v>1018</c:v>
                </c:pt>
                <c:pt idx="31">
                  <c:v>958</c:v>
                </c:pt>
                <c:pt idx="32">
                  <c:v>922</c:v>
                </c:pt>
                <c:pt idx="33">
                  <c:v>875</c:v>
                </c:pt>
                <c:pt idx="34">
                  <c:v>853</c:v>
                </c:pt>
                <c:pt idx="35">
                  <c:v>828</c:v>
                </c:pt>
                <c:pt idx="36">
                  <c:v>836</c:v>
                </c:pt>
                <c:pt idx="37">
                  <c:v>836</c:v>
                </c:pt>
                <c:pt idx="38">
                  <c:v>814</c:v>
                </c:pt>
                <c:pt idx="39">
                  <c:v>773</c:v>
                </c:pt>
                <c:pt idx="40">
                  <c:v>751</c:v>
                </c:pt>
                <c:pt idx="41">
                  <c:v>749</c:v>
                </c:pt>
                <c:pt idx="42">
                  <c:v>742</c:v>
                </c:pt>
                <c:pt idx="43">
                  <c:v>766</c:v>
                </c:pt>
                <c:pt idx="44">
                  <c:v>806</c:v>
                </c:pt>
                <c:pt idx="45">
                  <c:v>786</c:v>
                </c:pt>
                <c:pt idx="46">
                  <c:v>755</c:v>
                </c:pt>
                <c:pt idx="47">
                  <c:v>766</c:v>
                </c:pt>
                <c:pt idx="48">
                  <c:v>802</c:v>
                </c:pt>
                <c:pt idx="49">
                  <c:v>790</c:v>
                </c:pt>
                <c:pt idx="50">
                  <c:v>818</c:v>
                </c:pt>
                <c:pt idx="51">
                  <c:v>777</c:v>
                </c:pt>
                <c:pt idx="52">
                  <c:v>781</c:v>
                </c:pt>
                <c:pt idx="53">
                  <c:v>768</c:v>
                </c:pt>
                <c:pt idx="54">
                  <c:v>811</c:v>
                </c:pt>
                <c:pt idx="55">
                  <c:v>808</c:v>
                </c:pt>
                <c:pt idx="56">
                  <c:v>792</c:v>
                </c:pt>
                <c:pt idx="57">
                  <c:v>763</c:v>
                </c:pt>
                <c:pt idx="58">
                  <c:v>819</c:v>
                </c:pt>
                <c:pt idx="59">
                  <c:v>852</c:v>
                </c:pt>
                <c:pt idx="60">
                  <c:v>896</c:v>
                </c:pt>
                <c:pt idx="61">
                  <c:v>899</c:v>
                </c:pt>
                <c:pt idx="62">
                  <c:v>918</c:v>
                </c:pt>
                <c:pt idx="63">
                  <c:v>917</c:v>
                </c:pt>
                <c:pt idx="64">
                  <c:v>878</c:v>
                </c:pt>
                <c:pt idx="65">
                  <c:v>850</c:v>
                </c:pt>
                <c:pt idx="66">
                  <c:v>824</c:v>
                </c:pt>
                <c:pt idx="67">
                  <c:v>844</c:v>
                </c:pt>
                <c:pt idx="68">
                  <c:v>813</c:v>
                </c:pt>
                <c:pt idx="69">
                  <c:v>843</c:v>
                </c:pt>
                <c:pt idx="70">
                  <c:v>875</c:v>
                </c:pt>
                <c:pt idx="71">
                  <c:v>889</c:v>
                </c:pt>
                <c:pt idx="72">
                  <c:v>889</c:v>
                </c:pt>
                <c:pt idx="73">
                  <c:v>930</c:v>
                </c:pt>
                <c:pt idx="74">
                  <c:v>879</c:v>
                </c:pt>
                <c:pt idx="75">
                  <c:v>848</c:v>
                </c:pt>
                <c:pt idx="76">
                  <c:v>829</c:v>
                </c:pt>
                <c:pt idx="77">
                  <c:v>798</c:v>
                </c:pt>
                <c:pt idx="78">
                  <c:v>794</c:v>
                </c:pt>
                <c:pt idx="79">
                  <c:v>812</c:v>
                </c:pt>
                <c:pt idx="80">
                  <c:v>817</c:v>
                </c:pt>
                <c:pt idx="81">
                  <c:v>836</c:v>
                </c:pt>
                <c:pt idx="82">
                  <c:v>853</c:v>
                </c:pt>
                <c:pt idx="83">
                  <c:v>843</c:v>
                </c:pt>
                <c:pt idx="84">
                  <c:v>875</c:v>
                </c:pt>
                <c:pt idx="85">
                  <c:v>858</c:v>
                </c:pt>
                <c:pt idx="86">
                  <c:v>831</c:v>
                </c:pt>
                <c:pt idx="87">
                  <c:v>834</c:v>
                </c:pt>
                <c:pt idx="88">
                  <c:v>823</c:v>
                </c:pt>
                <c:pt idx="89">
                  <c:v>800</c:v>
                </c:pt>
                <c:pt idx="90">
                  <c:v>802</c:v>
                </c:pt>
                <c:pt idx="91">
                  <c:v>820</c:v>
                </c:pt>
                <c:pt idx="92">
                  <c:v>833</c:v>
                </c:pt>
                <c:pt idx="93">
                  <c:v>836</c:v>
                </c:pt>
                <c:pt idx="94">
                  <c:v>877</c:v>
                </c:pt>
                <c:pt idx="95">
                  <c:v>896</c:v>
                </c:pt>
                <c:pt idx="96">
                  <c:v>883</c:v>
                </c:pt>
                <c:pt idx="97">
                  <c:v>904</c:v>
                </c:pt>
                <c:pt idx="98">
                  <c:v>923</c:v>
                </c:pt>
                <c:pt idx="99">
                  <c:v>946</c:v>
                </c:pt>
                <c:pt idx="100">
                  <c:v>899</c:v>
                </c:pt>
                <c:pt idx="101">
                  <c:v>804</c:v>
                </c:pt>
                <c:pt idx="102">
                  <c:v>765</c:v>
                </c:pt>
                <c:pt idx="103">
                  <c:v>798</c:v>
                </c:pt>
                <c:pt idx="104">
                  <c:v>857</c:v>
                </c:pt>
                <c:pt idx="105">
                  <c:v>893</c:v>
                </c:pt>
                <c:pt idx="106">
                  <c:v>930</c:v>
                </c:pt>
                <c:pt idx="107">
                  <c:v>941</c:v>
                </c:pt>
                <c:pt idx="108">
                  <c:v>924</c:v>
                </c:pt>
                <c:pt idx="109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8-4A67-8D59-194AC8D29831}"/>
            </c:ext>
          </c:extLst>
        </c:ser>
        <c:ser>
          <c:idx val="3"/>
          <c:order val="3"/>
          <c:tx>
            <c:strRef>
              <c:f>'Oil Crops Chart Gallery Fig 2'!$E$1:$E$2</c:f>
              <c:strCache>
                <c:ptCount val="2"/>
                <c:pt idx="0">
                  <c:v>EU</c:v>
                </c:pt>
                <c:pt idx="1">
                  <c:v>sunflowerseed oil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'Oil Crops Chart Gallery Fig 2'!$A$4:$A$113</c:f>
              <c:numCache>
                <c:formatCode>mmm\-yyyy</c:formatCode>
                <c:ptCount val="110"/>
                <c:pt idx="0">
                  <c:v>40817</c:v>
                </c:pt>
                <c:pt idx="1">
                  <c:v>40848</c:v>
                </c:pt>
                <c:pt idx="2">
                  <c:v>40878</c:v>
                </c:pt>
                <c:pt idx="3">
                  <c:v>40909</c:v>
                </c:pt>
                <c:pt idx="4">
                  <c:v>40940</c:v>
                </c:pt>
                <c:pt idx="5">
                  <c:v>40969</c:v>
                </c:pt>
                <c:pt idx="6">
                  <c:v>41000</c:v>
                </c:pt>
                <c:pt idx="7">
                  <c:v>41030</c:v>
                </c:pt>
                <c:pt idx="8">
                  <c:v>41061</c:v>
                </c:pt>
                <c:pt idx="9">
                  <c:v>41091</c:v>
                </c:pt>
                <c:pt idx="10">
                  <c:v>41122</c:v>
                </c:pt>
                <c:pt idx="11">
                  <c:v>41153</c:v>
                </c:pt>
                <c:pt idx="12">
                  <c:v>41183</c:v>
                </c:pt>
                <c:pt idx="13">
                  <c:v>41214</c:v>
                </c:pt>
                <c:pt idx="14">
                  <c:v>41244</c:v>
                </c:pt>
                <c:pt idx="15">
                  <c:v>41275</c:v>
                </c:pt>
                <c:pt idx="16">
                  <c:v>41306</c:v>
                </c:pt>
                <c:pt idx="17">
                  <c:v>41334</c:v>
                </c:pt>
                <c:pt idx="18">
                  <c:v>41365</c:v>
                </c:pt>
                <c:pt idx="19">
                  <c:v>41395</c:v>
                </c:pt>
                <c:pt idx="20">
                  <c:v>41426</c:v>
                </c:pt>
                <c:pt idx="21">
                  <c:v>41456</c:v>
                </c:pt>
                <c:pt idx="22">
                  <c:v>41487</c:v>
                </c:pt>
                <c:pt idx="23">
                  <c:v>41518</c:v>
                </c:pt>
                <c:pt idx="24">
                  <c:v>41548</c:v>
                </c:pt>
                <c:pt idx="25">
                  <c:v>41579</c:v>
                </c:pt>
                <c:pt idx="26">
                  <c:v>41609</c:v>
                </c:pt>
                <c:pt idx="27">
                  <c:v>41640</c:v>
                </c:pt>
                <c:pt idx="28">
                  <c:v>41671</c:v>
                </c:pt>
                <c:pt idx="29">
                  <c:v>41699</c:v>
                </c:pt>
                <c:pt idx="30">
                  <c:v>41730</c:v>
                </c:pt>
                <c:pt idx="31">
                  <c:v>41760</c:v>
                </c:pt>
                <c:pt idx="32">
                  <c:v>41791</c:v>
                </c:pt>
                <c:pt idx="33">
                  <c:v>41821</c:v>
                </c:pt>
                <c:pt idx="34">
                  <c:v>41852</c:v>
                </c:pt>
                <c:pt idx="35">
                  <c:v>41883</c:v>
                </c:pt>
                <c:pt idx="36">
                  <c:v>41913</c:v>
                </c:pt>
                <c:pt idx="37">
                  <c:v>41944</c:v>
                </c:pt>
                <c:pt idx="38">
                  <c:v>41974</c:v>
                </c:pt>
                <c:pt idx="39">
                  <c:v>42005</c:v>
                </c:pt>
                <c:pt idx="40">
                  <c:v>42036</c:v>
                </c:pt>
                <c:pt idx="41">
                  <c:v>42064</c:v>
                </c:pt>
                <c:pt idx="42">
                  <c:v>42095</c:v>
                </c:pt>
                <c:pt idx="43">
                  <c:v>42125</c:v>
                </c:pt>
                <c:pt idx="44">
                  <c:v>42156</c:v>
                </c:pt>
                <c:pt idx="45">
                  <c:v>42186</c:v>
                </c:pt>
                <c:pt idx="46">
                  <c:v>42217</c:v>
                </c:pt>
                <c:pt idx="47">
                  <c:v>42248</c:v>
                </c:pt>
                <c:pt idx="48">
                  <c:v>42278</c:v>
                </c:pt>
                <c:pt idx="49">
                  <c:v>42309</c:v>
                </c:pt>
                <c:pt idx="50">
                  <c:v>42339</c:v>
                </c:pt>
                <c:pt idx="51">
                  <c:v>42370</c:v>
                </c:pt>
                <c:pt idx="52">
                  <c:v>42401</c:v>
                </c:pt>
                <c:pt idx="53">
                  <c:v>42430</c:v>
                </c:pt>
                <c:pt idx="54">
                  <c:v>42461</c:v>
                </c:pt>
                <c:pt idx="55">
                  <c:v>42491</c:v>
                </c:pt>
                <c:pt idx="56">
                  <c:v>42522</c:v>
                </c:pt>
                <c:pt idx="57">
                  <c:v>42552</c:v>
                </c:pt>
                <c:pt idx="58">
                  <c:v>42583</c:v>
                </c:pt>
                <c:pt idx="59">
                  <c:v>42614</c:v>
                </c:pt>
                <c:pt idx="60">
                  <c:v>42644</c:v>
                </c:pt>
                <c:pt idx="61">
                  <c:v>42675</c:v>
                </c:pt>
                <c:pt idx="62">
                  <c:v>42705</c:v>
                </c:pt>
                <c:pt idx="63">
                  <c:v>42736</c:v>
                </c:pt>
                <c:pt idx="64">
                  <c:v>42767</c:v>
                </c:pt>
                <c:pt idx="65">
                  <c:v>42795</c:v>
                </c:pt>
                <c:pt idx="66">
                  <c:v>42826</c:v>
                </c:pt>
                <c:pt idx="67">
                  <c:v>42856</c:v>
                </c:pt>
                <c:pt idx="68">
                  <c:v>42887</c:v>
                </c:pt>
                <c:pt idx="69">
                  <c:v>42917</c:v>
                </c:pt>
                <c:pt idx="70">
                  <c:v>42948</c:v>
                </c:pt>
                <c:pt idx="71">
                  <c:v>42979</c:v>
                </c:pt>
                <c:pt idx="72">
                  <c:v>43009</c:v>
                </c:pt>
                <c:pt idx="73">
                  <c:v>43040</c:v>
                </c:pt>
                <c:pt idx="74">
                  <c:v>43070</c:v>
                </c:pt>
                <c:pt idx="75">
                  <c:v>43101</c:v>
                </c:pt>
                <c:pt idx="76">
                  <c:v>43132</c:v>
                </c:pt>
                <c:pt idx="77">
                  <c:v>43160</c:v>
                </c:pt>
                <c:pt idx="78">
                  <c:v>43191</c:v>
                </c:pt>
                <c:pt idx="79">
                  <c:v>43221</c:v>
                </c:pt>
                <c:pt idx="80">
                  <c:v>43252</c:v>
                </c:pt>
                <c:pt idx="81">
                  <c:v>43282</c:v>
                </c:pt>
                <c:pt idx="82">
                  <c:v>43313</c:v>
                </c:pt>
                <c:pt idx="83">
                  <c:v>43344</c:v>
                </c:pt>
                <c:pt idx="84">
                  <c:v>43374</c:v>
                </c:pt>
                <c:pt idx="85">
                  <c:v>43405</c:v>
                </c:pt>
                <c:pt idx="86">
                  <c:v>43435</c:v>
                </c:pt>
                <c:pt idx="87">
                  <c:v>43466</c:v>
                </c:pt>
                <c:pt idx="88">
                  <c:v>43497</c:v>
                </c:pt>
                <c:pt idx="89">
                  <c:v>43525</c:v>
                </c:pt>
                <c:pt idx="90">
                  <c:v>43556</c:v>
                </c:pt>
                <c:pt idx="91">
                  <c:v>43586</c:v>
                </c:pt>
                <c:pt idx="92">
                  <c:v>43617</c:v>
                </c:pt>
                <c:pt idx="93">
                  <c:v>43647</c:v>
                </c:pt>
                <c:pt idx="94">
                  <c:v>43678</c:v>
                </c:pt>
                <c:pt idx="95">
                  <c:v>43709</c:v>
                </c:pt>
                <c:pt idx="96">
                  <c:v>43739</c:v>
                </c:pt>
                <c:pt idx="97">
                  <c:v>43770</c:v>
                </c:pt>
                <c:pt idx="98">
                  <c:v>43800</c:v>
                </c:pt>
                <c:pt idx="99">
                  <c:v>43831</c:v>
                </c:pt>
                <c:pt idx="100">
                  <c:v>43862</c:v>
                </c:pt>
                <c:pt idx="101">
                  <c:v>43891</c:v>
                </c:pt>
                <c:pt idx="102">
                  <c:v>43922</c:v>
                </c:pt>
                <c:pt idx="103">
                  <c:v>43952</c:v>
                </c:pt>
                <c:pt idx="104">
                  <c:v>43983</c:v>
                </c:pt>
                <c:pt idx="105">
                  <c:v>44013</c:v>
                </c:pt>
                <c:pt idx="106">
                  <c:v>44044</c:v>
                </c:pt>
                <c:pt idx="107">
                  <c:v>44075</c:v>
                </c:pt>
                <c:pt idx="108">
                  <c:v>44105</c:v>
                </c:pt>
                <c:pt idx="109">
                  <c:v>44136</c:v>
                </c:pt>
              </c:numCache>
            </c:numRef>
          </c:cat>
          <c:val>
            <c:numRef>
              <c:f>'Oil Crops Chart Gallery Fig 2'!$E$4:$E$114</c:f>
              <c:numCache>
                <c:formatCode>#,##0_);\(#,##0\)</c:formatCode>
                <c:ptCount val="111"/>
                <c:pt idx="0">
                  <c:v>1212</c:v>
                </c:pt>
                <c:pt idx="1">
                  <c:v>1248</c:v>
                </c:pt>
                <c:pt idx="2">
                  <c:v>1190</c:v>
                </c:pt>
                <c:pt idx="3">
                  <c:v>1208</c:v>
                </c:pt>
                <c:pt idx="4">
                  <c:v>1249</c:v>
                </c:pt>
                <c:pt idx="5">
                  <c:v>1266</c:v>
                </c:pt>
                <c:pt idx="6">
                  <c:v>1324</c:v>
                </c:pt>
                <c:pt idx="7">
                  <c:v>1275</c:v>
                </c:pt>
                <c:pt idx="8">
                  <c:v>1192</c:v>
                </c:pt>
                <c:pt idx="9">
                  <c:v>1258</c:v>
                </c:pt>
                <c:pt idx="10">
                  <c:v>1300</c:v>
                </c:pt>
                <c:pt idx="11">
                  <c:v>1331</c:v>
                </c:pt>
                <c:pt idx="12">
                  <c:v>1245</c:v>
                </c:pt>
                <c:pt idx="13">
                  <c:v>1237</c:v>
                </c:pt>
                <c:pt idx="14">
                  <c:v>1269</c:v>
                </c:pt>
                <c:pt idx="15">
                  <c:v>1269</c:v>
                </c:pt>
                <c:pt idx="16">
                  <c:v>1275</c:v>
                </c:pt>
                <c:pt idx="17">
                  <c:v>1221</c:v>
                </c:pt>
                <c:pt idx="18">
                  <c:v>1201</c:v>
                </c:pt>
                <c:pt idx="19">
                  <c:v>1227</c:v>
                </c:pt>
                <c:pt idx="20">
                  <c:v>1228</c:v>
                </c:pt>
                <c:pt idx="21">
                  <c:v>1178</c:v>
                </c:pt>
                <c:pt idx="22">
                  <c:v>959</c:v>
                </c:pt>
                <c:pt idx="23">
                  <c:v>962</c:v>
                </c:pt>
                <c:pt idx="24">
                  <c:v>988</c:v>
                </c:pt>
                <c:pt idx="25">
                  <c:v>998</c:v>
                </c:pt>
                <c:pt idx="26">
                  <c:v>982</c:v>
                </c:pt>
                <c:pt idx="27">
                  <c:v>920</c:v>
                </c:pt>
                <c:pt idx="28">
                  <c:v>945</c:v>
                </c:pt>
                <c:pt idx="29">
                  <c:v>964</c:v>
                </c:pt>
                <c:pt idx="30">
                  <c:v>941</c:v>
                </c:pt>
                <c:pt idx="31">
                  <c:v>943</c:v>
                </c:pt>
                <c:pt idx="32">
                  <c:v>928</c:v>
                </c:pt>
                <c:pt idx="33">
                  <c:v>887</c:v>
                </c:pt>
                <c:pt idx="34">
                  <c:v>828</c:v>
                </c:pt>
                <c:pt idx="35">
                  <c:v>823</c:v>
                </c:pt>
                <c:pt idx="36">
                  <c:v>874</c:v>
                </c:pt>
                <c:pt idx="37">
                  <c:v>892</c:v>
                </c:pt>
                <c:pt idx="38">
                  <c:v>877</c:v>
                </c:pt>
                <c:pt idx="39">
                  <c:v>837</c:v>
                </c:pt>
                <c:pt idx="40">
                  <c:v>802</c:v>
                </c:pt>
                <c:pt idx="41">
                  <c:v>801</c:v>
                </c:pt>
                <c:pt idx="42">
                  <c:v>838</c:v>
                </c:pt>
                <c:pt idx="43">
                  <c:v>904</c:v>
                </c:pt>
                <c:pt idx="44">
                  <c:v>918</c:v>
                </c:pt>
                <c:pt idx="45">
                  <c:v>832</c:v>
                </c:pt>
                <c:pt idx="46">
                  <c:v>812</c:v>
                </c:pt>
                <c:pt idx="47">
                  <c:v>815</c:v>
                </c:pt>
                <c:pt idx="48">
                  <c:v>883</c:v>
                </c:pt>
                <c:pt idx="49">
                  <c:v>862</c:v>
                </c:pt>
                <c:pt idx="50">
                  <c:v>852</c:v>
                </c:pt>
                <c:pt idx="51">
                  <c:v>846</c:v>
                </c:pt>
                <c:pt idx="52">
                  <c:v>869</c:v>
                </c:pt>
                <c:pt idx="53">
                  <c:v>842</c:v>
                </c:pt>
                <c:pt idx="54">
                  <c:v>857</c:v>
                </c:pt>
                <c:pt idx="55">
                  <c:v>868</c:v>
                </c:pt>
                <c:pt idx="56">
                  <c:v>851</c:v>
                </c:pt>
                <c:pt idx="57">
                  <c:v>816</c:v>
                </c:pt>
                <c:pt idx="58">
                  <c:v>815</c:v>
                </c:pt>
                <c:pt idx="59">
                  <c:v>823</c:v>
                </c:pt>
                <c:pt idx="60">
                  <c:v>830</c:v>
                </c:pt>
                <c:pt idx="61">
                  <c:v>830</c:v>
                </c:pt>
                <c:pt idx="62">
                  <c:v>844</c:v>
                </c:pt>
                <c:pt idx="63">
                  <c:v>817</c:v>
                </c:pt>
                <c:pt idx="64">
                  <c:v>808</c:v>
                </c:pt>
                <c:pt idx="65">
                  <c:v>783</c:v>
                </c:pt>
                <c:pt idx="66">
                  <c:v>784</c:v>
                </c:pt>
                <c:pt idx="67">
                  <c:v>797</c:v>
                </c:pt>
                <c:pt idx="68">
                  <c:v>780</c:v>
                </c:pt>
                <c:pt idx="69">
                  <c:v>793</c:v>
                </c:pt>
                <c:pt idx="70">
                  <c:v>806</c:v>
                </c:pt>
                <c:pt idx="71">
                  <c:v>810</c:v>
                </c:pt>
                <c:pt idx="72">
                  <c:v>788</c:v>
                </c:pt>
                <c:pt idx="73">
                  <c:v>795</c:v>
                </c:pt>
                <c:pt idx="74">
                  <c:v>787</c:v>
                </c:pt>
                <c:pt idx="75">
                  <c:v>784</c:v>
                </c:pt>
                <c:pt idx="76">
                  <c:v>794</c:v>
                </c:pt>
                <c:pt idx="77">
                  <c:v>790</c:v>
                </c:pt>
                <c:pt idx="78">
                  <c:v>802</c:v>
                </c:pt>
                <c:pt idx="79">
                  <c:v>782</c:v>
                </c:pt>
                <c:pt idx="80">
                  <c:v>759</c:v>
                </c:pt>
                <c:pt idx="81">
                  <c:v>774</c:v>
                </c:pt>
                <c:pt idx="82">
                  <c:v>739</c:v>
                </c:pt>
                <c:pt idx="83">
                  <c:v>713</c:v>
                </c:pt>
                <c:pt idx="84">
                  <c:v>712</c:v>
                </c:pt>
                <c:pt idx="85">
                  <c:v>678</c:v>
                </c:pt>
                <c:pt idx="86">
                  <c:v>676</c:v>
                </c:pt>
                <c:pt idx="87">
                  <c:v>689</c:v>
                </c:pt>
                <c:pt idx="88">
                  <c:v>706</c:v>
                </c:pt>
                <c:pt idx="89">
                  <c:v>700</c:v>
                </c:pt>
                <c:pt idx="90">
                  <c:v>701</c:v>
                </c:pt>
                <c:pt idx="91">
                  <c:v>726</c:v>
                </c:pt>
                <c:pt idx="92">
                  <c:v>738</c:v>
                </c:pt>
                <c:pt idx="93">
                  <c:v>772</c:v>
                </c:pt>
                <c:pt idx="94">
                  <c:v>772</c:v>
                </c:pt>
                <c:pt idx="95">
                  <c:v>756</c:v>
                </c:pt>
                <c:pt idx="96">
                  <c:v>738</c:v>
                </c:pt>
                <c:pt idx="97">
                  <c:v>763</c:v>
                </c:pt>
                <c:pt idx="98">
                  <c:v>802</c:v>
                </c:pt>
                <c:pt idx="99">
                  <c:v>830</c:v>
                </c:pt>
                <c:pt idx="100">
                  <c:v>759</c:v>
                </c:pt>
                <c:pt idx="101">
                  <c:v>706</c:v>
                </c:pt>
                <c:pt idx="102">
                  <c:v>728</c:v>
                </c:pt>
                <c:pt idx="103">
                  <c:v>751</c:v>
                </c:pt>
                <c:pt idx="104">
                  <c:v>807</c:v>
                </c:pt>
                <c:pt idx="105">
                  <c:v>817</c:v>
                </c:pt>
                <c:pt idx="106">
                  <c:v>842</c:v>
                </c:pt>
                <c:pt idx="107">
                  <c:v>1000</c:v>
                </c:pt>
                <c:pt idx="108">
                  <c:v>999</c:v>
                </c:pt>
                <c:pt idx="109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8-4A67-8D59-194AC8D2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Foreign </a:t>
                </a:r>
                <a:r>
                  <a:rPr lang="en-US" sz="800" i="0"/>
                  <a:t>Agricultural Service</a:t>
                </a:r>
                <a:r>
                  <a:rPr lang="en-US" sz="800" i="1"/>
                  <a:t>, Oilseeds: World Markets and Trade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6.4823844134867761E-2"/>
              <c:y val="0.95537411210396928"/>
            </c:manualLayout>
          </c:layout>
          <c:overlay val="0"/>
        </c:title>
        <c:numFmt formatCode="mmm\-yyyy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Unit val="18"/>
        <c:majorTimeUnit val="months"/>
        <c:minorTimeUnit val="months"/>
      </c:dateAx>
      <c:valAx>
        <c:axId val="-494674736"/>
        <c:scaling>
          <c:orientation val="minMax"/>
          <c:max val="1500"/>
          <c:min val="4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 per metric ton</a:t>
                </a:r>
              </a:p>
            </c:rich>
          </c:tx>
          <c:layout>
            <c:manualLayout>
              <c:xMode val="edge"/>
              <c:yMode val="edge"/>
              <c:x val="4.1671209368059757E-2"/>
              <c:y val="0.12069277500717462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"/>
        <c:minorUnit val="2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0932936267581934E-2"/>
          <c:y val="0.90154309213142292"/>
          <c:w val="0.9"/>
          <c:h val="5.4325175965635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0</xdr:row>
      <xdr:rowOff>95250</xdr:rowOff>
    </xdr:from>
    <xdr:to>
      <xdr:col>11</xdr:col>
      <xdr:colOff>419100</xdr:colOff>
      <xdr:row>19</xdr:row>
      <xdr:rowOff>107950</xdr:rowOff>
    </xdr:to>
    <xdr:graphicFrame macro="">
      <xdr:nvGraphicFramePr>
        <xdr:cNvPr id="4" name="Chart 4" descr="Spike in soybean meal prices to a 3-year high boosts crush margins.&#10;&#10;A chart of monthly average central Illinois soybean meal prices.">
          <a:extLst>
            <a:ext uri="{FF2B5EF4-FFF2-40B4-BE49-F238E27FC236}">
              <a16:creationId xmlns:a16="http://schemas.microsoft.com/office/drawing/2014/main" id="{F5F4164D-CE49-4CFD-AC05-387790B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57150</xdr:rowOff>
    </xdr:from>
    <xdr:to>
      <xdr:col>12</xdr:col>
      <xdr:colOff>603250</xdr:colOff>
      <xdr:row>19</xdr:row>
      <xdr:rowOff>88900</xdr:rowOff>
    </xdr:to>
    <xdr:graphicFrame macro="">
      <xdr:nvGraphicFramePr>
        <xdr:cNvPr id="2" name="Chart 4" descr="After bottoming out in the spring, U.S. vegetable oil prices are rallying.&#10;&#10;A chart of monthly U.S. prices for soybean oil, canola oil, and cottonseed oil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305954</xdr:colOff>
      <xdr:row>0</xdr:row>
      <xdr:rowOff>115454</xdr:rowOff>
    </xdr:from>
    <xdr:to>
      <xdr:col>13</xdr:col>
      <xdr:colOff>592281</xdr:colOff>
      <xdr:row>22</xdr:row>
      <xdr:rowOff>30018</xdr:rowOff>
    </xdr:to>
    <xdr:graphicFrame macro="">
      <xdr:nvGraphicFramePr>
        <xdr:cNvPr id="4" name="Chart 4" descr="International vegetable oil prices are climbing again.&#10;&#10;A chart of monthly prices for major vegetable oil markets.">
          <a:extLst>
            <a:ext uri="{FF2B5EF4-FFF2-40B4-BE49-F238E27FC236}">
              <a16:creationId xmlns:a16="http://schemas.microsoft.com/office/drawing/2014/main" id="{97F26740-E702-4034-9181-201D2AFC7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5" sqref="A5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110</v>
      </c>
    </row>
    <row r="3" spans="1:3" s="24" customFormat="1" ht="10" x14ac:dyDescent="0.2">
      <c r="A3" s="23"/>
    </row>
    <row r="4" spans="1:3" ht="13" x14ac:dyDescent="0.3">
      <c r="A4" s="25" t="s">
        <v>111</v>
      </c>
    </row>
    <row r="5" spans="1:3" ht="13" x14ac:dyDescent="0.3">
      <c r="A5" s="33">
        <f ca="1">TODAY()</f>
        <v>44176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147</v>
      </c>
      <c r="B7" s="28"/>
      <c r="C7" s="24"/>
    </row>
    <row r="8" spans="1:3" ht="13" x14ac:dyDescent="0.3">
      <c r="A8" s="32" t="s">
        <v>148</v>
      </c>
      <c r="B8" s="30"/>
    </row>
    <row r="9" spans="1:3" ht="13" x14ac:dyDescent="0.3">
      <c r="A9" s="32" t="s">
        <v>149</v>
      </c>
      <c r="B9" s="30"/>
    </row>
    <row r="10" spans="1:3" ht="13" x14ac:dyDescent="0.3">
      <c r="A10" s="32" t="s">
        <v>150</v>
      </c>
      <c r="B10" s="30"/>
    </row>
    <row r="11" spans="1:3" ht="13" x14ac:dyDescent="0.3">
      <c r="A11" s="32" t="s">
        <v>151</v>
      </c>
      <c r="B11" s="30"/>
    </row>
    <row r="12" spans="1:3" ht="13" x14ac:dyDescent="0.3">
      <c r="A12" s="32" t="s">
        <v>152</v>
      </c>
      <c r="B12" s="30"/>
    </row>
    <row r="13" spans="1:3" ht="13" x14ac:dyDescent="0.3">
      <c r="A13" s="32" t="s">
        <v>153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163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4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5" t="s">
        <v>21</v>
      </c>
      <c r="C2" s="132"/>
      <c r="D2" s="37" t="s">
        <v>24</v>
      </c>
      <c r="E2" s="134"/>
      <c r="F2" s="132" t="s">
        <v>82</v>
      </c>
      <c r="G2" s="132"/>
      <c r="H2" s="132"/>
      <c r="I2" s="38"/>
      <c r="J2" s="134"/>
      <c r="K2" s="132"/>
      <c r="L2" s="136" t="s">
        <v>62</v>
      </c>
      <c r="M2" s="132"/>
      <c r="N2" s="35"/>
    </row>
    <row r="3" spans="1:14" ht="14" x14ac:dyDescent="0.3">
      <c r="A3" s="35" t="s">
        <v>75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90</v>
      </c>
      <c r="L3" s="39"/>
      <c r="M3" s="39"/>
      <c r="N3" s="39" t="s">
        <v>6</v>
      </c>
    </row>
    <row r="4" spans="1:14" ht="14" x14ac:dyDescent="0.3">
      <c r="A4" s="40" t="s">
        <v>79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0" t="s">
        <v>83</v>
      </c>
      <c r="C5" s="131"/>
      <c r="D5" s="45" t="s">
        <v>66</v>
      </c>
      <c r="G5" s="130"/>
      <c r="I5" s="130"/>
      <c r="J5" s="133" t="s">
        <v>143</v>
      </c>
      <c r="K5" s="130"/>
      <c r="L5" s="130"/>
      <c r="M5" s="130"/>
      <c r="N5" s="130"/>
    </row>
    <row r="6" spans="1:14" ht="16.5" customHeight="1" x14ac:dyDescent="0.3">
      <c r="A6" s="35" t="s">
        <v>141</v>
      </c>
      <c r="B6" s="46">
        <v>89.167000000000002</v>
      </c>
      <c r="C6" s="46">
        <v>87.593999999999994</v>
      </c>
      <c r="D6" s="46">
        <f t="shared" ref="D6" si="0">F6/C6</f>
        <v>50.553120076717583</v>
      </c>
      <c r="E6" s="47">
        <v>438.10500000000002</v>
      </c>
      <c r="F6" s="48">
        <v>4428.1499999999996</v>
      </c>
      <c r="G6" s="49">
        <v>14.0573</v>
      </c>
      <c r="H6" s="49">
        <f t="shared" ref="H6" si="1">SUM(E6:G6)</f>
        <v>4880.3122999999996</v>
      </c>
      <c r="I6" s="35"/>
      <c r="J6" s="48">
        <v>2091.9902666666667</v>
      </c>
      <c r="K6" s="48">
        <f t="shared" ref="K6:K7" si="2">M6-L6-J6</f>
        <v>203.01353333333282</v>
      </c>
      <c r="L6" s="49">
        <v>1676.2565</v>
      </c>
      <c r="M6" s="49">
        <f t="shared" ref="M6:M7" si="3">H6-N6</f>
        <v>3971.2602999999995</v>
      </c>
      <c r="N6" s="49">
        <v>909.05200000000002</v>
      </c>
    </row>
    <row r="7" spans="1:14" ht="16.5" customHeight="1" x14ac:dyDescent="0.3">
      <c r="A7" s="35" t="s">
        <v>145</v>
      </c>
      <c r="B7" s="46">
        <v>76.099999999999994</v>
      </c>
      <c r="C7" s="46">
        <v>74.950999999999993</v>
      </c>
      <c r="D7" s="46">
        <f>F7/C7</f>
        <v>47.389734626622733</v>
      </c>
      <c r="E7" s="47">
        <f>N6</f>
        <v>909.05200000000002</v>
      </c>
      <c r="F7" s="48">
        <f>F15</f>
        <v>3551.9079999999999</v>
      </c>
      <c r="G7" s="49">
        <f>G28</f>
        <v>15.399722739414511</v>
      </c>
      <c r="H7" s="49">
        <f>SUM(E7:G7)</f>
        <v>4476.3597227394148</v>
      </c>
      <c r="I7" s="35"/>
      <c r="J7" s="48">
        <f>J28</f>
        <v>2164.5542333333333</v>
      </c>
      <c r="K7" s="48">
        <f t="shared" si="2"/>
        <v>112.0709792533271</v>
      </c>
      <c r="L7" s="49">
        <f>L28</f>
        <v>1676.2565101527543</v>
      </c>
      <c r="M7" s="49">
        <f t="shared" si="3"/>
        <v>3952.8817227394147</v>
      </c>
      <c r="N7" s="49">
        <f>N27</f>
        <v>523.47799999999995</v>
      </c>
    </row>
    <row r="8" spans="1:14" ht="16.5" customHeight="1" x14ac:dyDescent="0.3">
      <c r="A8" s="35" t="s">
        <v>157</v>
      </c>
      <c r="B8" s="46">
        <v>83.825000000000003</v>
      </c>
      <c r="C8" s="46">
        <v>83.02</v>
      </c>
      <c r="D8" s="46">
        <f>F8/C8</f>
        <v>50.232016381594796</v>
      </c>
      <c r="E8" s="47">
        <f>N7</f>
        <v>523.47799999999995</v>
      </c>
      <c r="F8" s="48">
        <f>F33</f>
        <v>4170.2619999999997</v>
      </c>
      <c r="G8" s="49">
        <v>15</v>
      </c>
      <c r="H8" s="49">
        <f>SUM(E8:G8)</f>
        <v>4708.74</v>
      </c>
      <c r="I8" s="35"/>
      <c r="J8" s="48">
        <v>2195</v>
      </c>
      <c r="K8" s="48">
        <f t="shared" ref="K8" si="4">M8-L8-J8</f>
        <v>138.73999999999978</v>
      </c>
      <c r="L8" s="49">
        <v>2200</v>
      </c>
      <c r="M8" s="49">
        <f t="shared" ref="M8" si="5">H8-N8</f>
        <v>4533.74</v>
      </c>
      <c r="N8" s="49">
        <v>175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6"/>
    </row>
    <row r="11" spans="1:14" ht="16.5" customHeight="1" x14ac:dyDescent="0.3">
      <c r="A11" s="35" t="s">
        <v>146</v>
      </c>
      <c r="B11" s="128"/>
      <c r="C11" s="128"/>
      <c r="D11" s="128"/>
      <c r="E11" s="128"/>
      <c r="F11" s="128"/>
      <c r="G11" s="56"/>
      <c r="H11" s="57"/>
      <c r="I11" s="138"/>
      <c r="J11" s="57"/>
      <c r="K11" s="57"/>
      <c r="L11" s="56"/>
      <c r="M11" s="56"/>
      <c r="N11" s="128"/>
    </row>
    <row r="12" spans="1:14" ht="16.5" customHeight="1" x14ac:dyDescent="0.3">
      <c r="A12" s="38" t="s">
        <v>93</v>
      </c>
      <c r="B12" s="128"/>
      <c r="C12" s="128"/>
      <c r="D12" s="128"/>
      <c r="G12" s="56">
        <f>(0.61606+25.572761+5.722113)*2.204622/60</f>
        <v>1.1725257856158</v>
      </c>
      <c r="I12" s="128"/>
      <c r="J12" s="57">
        <f>4.870034*2000/60</f>
        <v>162.33446666666669</v>
      </c>
      <c r="K12" s="58"/>
      <c r="L12" s="56">
        <f>(34.198907+3866.166)*2.204622/60</f>
        <v>143.31383803333591</v>
      </c>
      <c r="M12" s="56"/>
      <c r="N12" s="57"/>
    </row>
    <row r="13" spans="1:14" ht="16.5" customHeight="1" x14ac:dyDescent="0.3">
      <c r="A13" s="38" t="s">
        <v>98</v>
      </c>
      <c r="B13" s="128"/>
      <c r="C13" s="128"/>
      <c r="D13" s="128"/>
      <c r="E13" s="53"/>
      <c r="F13" s="55"/>
      <c r="G13" s="56">
        <f>(1.045181+37.412542+15.259817)*2.204622/60</f>
        <v>1.9737811744980001</v>
      </c>
      <c r="H13" s="57"/>
      <c r="I13" s="128"/>
      <c r="J13" s="57">
        <f>5.615616*2000/60</f>
        <v>187.18719999999999</v>
      </c>
      <c r="K13" s="58"/>
      <c r="L13" s="56">
        <f>(31.439182+5862.128)*2.204622/60</f>
        <v>216.55146446525342</v>
      </c>
      <c r="M13" s="56"/>
      <c r="N13" s="57"/>
    </row>
    <row r="14" spans="1:14" ht="16.5" customHeight="1" x14ac:dyDescent="0.3">
      <c r="A14" s="38" t="s">
        <v>100</v>
      </c>
      <c r="B14" s="128"/>
      <c r="C14" s="128"/>
      <c r="D14" s="128"/>
      <c r="E14" s="53"/>
      <c r="F14" s="55"/>
      <c r="G14" s="56">
        <f>(0.996565+5.711141+5.30294)*2.204622/60</f>
        <v>0.44131557343020006</v>
      </c>
      <c r="H14" s="57"/>
      <c r="I14" s="128"/>
      <c r="J14" s="57">
        <f>5.239452*2000/60</f>
        <v>174.64840000000001</v>
      </c>
      <c r="K14" s="58"/>
      <c r="L14" s="56">
        <f>(18.866325+6806.837)*2.204622/60</f>
        <v>250.80159526280252</v>
      </c>
      <c r="M14" s="56"/>
      <c r="N14" s="57"/>
    </row>
    <row r="15" spans="1:14" ht="16.5" customHeight="1" x14ac:dyDescent="0.3">
      <c r="A15" s="38" t="s">
        <v>71</v>
      </c>
      <c r="B15" s="128"/>
      <c r="C15" s="128"/>
      <c r="D15" s="128"/>
      <c r="E15" s="53">
        <v>909.05200000000002</v>
      </c>
      <c r="F15" s="55">
        <f>3551.908</f>
        <v>3551.9079999999999</v>
      </c>
      <c r="G15" s="56">
        <f>SUM(G12:G14)</f>
        <v>3.5876225335440002</v>
      </c>
      <c r="H15" s="57">
        <f>E15+F15+G15</f>
        <v>4464.5476225335442</v>
      </c>
      <c r="I15" s="128"/>
      <c r="J15" s="57">
        <f>SUM(J12:J14)</f>
        <v>524.17006666666668</v>
      </c>
      <c r="K15" s="58">
        <f>M15-L15-J15</f>
        <v>77.222658105485834</v>
      </c>
      <c r="L15" s="56">
        <f>SUM(L12:L14)</f>
        <v>610.66689776139185</v>
      </c>
      <c r="M15" s="56">
        <f>H15-N15</f>
        <v>1212.0596225335444</v>
      </c>
      <c r="N15" s="57">
        <v>3252.4879999999998</v>
      </c>
    </row>
    <row r="16" spans="1:14" ht="16.5" customHeight="1" x14ac:dyDescent="0.3">
      <c r="A16" s="35" t="s">
        <v>101</v>
      </c>
      <c r="B16" s="128"/>
      <c r="C16" s="128"/>
      <c r="D16" s="128"/>
      <c r="E16" s="53"/>
      <c r="F16" s="56"/>
      <c r="G16" s="56">
        <f>(2.394047+31.047659+4.372992)*2.204622/60</f>
        <v>1.3894519189025998</v>
      </c>
      <c r="H16" s="57"/>
      <c r="I16" s="128"/>
      <c r="J16" s="57">
        <f>5.542274*2000/60</f>
        <v>184.74246666666667</v>
      </c>
      <c r="K16" s="58"/>
      <c r="L16" s="56">
        <f>(18.302084+5638.722)*2.204622/60</f>
        <v>207.85999583527078</v>
      </c>
      <c r="M16" s="56"/>
      <c r="N16" s="57"/>
    </row>
    <row r="17" spans="1:14" ht="16.5" customHeight="1" x14ac:dyDescent="0.3">
      <c r="A17" s="35" t="s">
        <v>102</v>
      </c>
      <c r="B17" s="128"/>
      <c r="C17" s="128"/>
      <c r="D17" s="128"/>
      <c r="E17" s="53"/>
      <c r="F17" s="55"/>
      <c r="G17" s="56">
        <f>(8.096021+19.453759+3.525378)*2.204622/60</f>
        <v>1.1418162830046001</v>
      </c>
      <c r="H17" s="57"/>
      <c r="I17" s="128"/>
      <c r="J17" s="57">
        <f>5.663403*2000/60</f>
        <v>188.78009999999998</v>
      </c>
      <c r="K17" s="58"/>
      <c r="L17" s="56">
        <f>(22.638687+5296.569)*2.204622/60</f>
        <v>195.44737148882191</v>
      </c>
      <c r="M17" s="56"/>
      <c r="N17" s="57"/>
    </row>
    <row r="18" spans="1:14" ht="16.5" customHeight="1" x14ac:dyDescent="0.3">
      <c r="A18" s="35" t="s">
        <v>103</v>
      </c>
      <c r="B18" s="128"/>
      <c r="C18" s="128"/>
      <c r="D18" s="128"/>
      <c r="E18" s="53"/>
      <c r="F18" s="55"/>
      <c r="G18" s="56">
        <f>(1.166549+36.489844+3.682102)*2.204622/60</f>
        <v>1.5189292587315002</v>
      </c>
      <c r="H18" s="57"/>
      <c r="I18" s="128"/>
      <c r="J18" s="57">
        <f>5.258777*2000/60</f>
        <v>175.29256666666666</v>
      </c>
      <c r="K18" s="58"/>
      <c r="L18" s="56">
        <f>(14.336042+2744.522)*2.204622/60</f>
        <v>101.3706522378354</v>
      </c>
      <c r="M18" s="128"/>
      <c r="N18" s="128"/>
    </row>
    <row r="19" spans="1:14" ht="16.5" customHeight="1" x14ac:dyDescent="0.3">
      <c r="A19" s="35" t="s">
        <v>72</v>
      </c>
      <c r="B19" s="128"/>
      <c r="C19" s="128"/>
      <c r="D19" s="128"/>
      <c r="E19" s="53">
        <f>N15</f>
        <v>3252.4879999999998</v>
      </c>
      <c r="F19" s="55"/>
      <c r="G19" s="56">
        <f>SUM(G16:G18)</f>
        <v>4.0501974606387003</v>
      </c>
      <c r="H19" s="57">
        <f>E19+F19+G19</f>
        <v>3256.5381974606385</v>
      </c>
      <c r="I19" s="128"/>
      <c r="J19" s="57">
        <f>SUM(J16:J18)</f>
        <v>548.81513333333328</v>
      </c>
      <c r="K19" s="58">
        <f>M19-L19-J19</f>
        <v>-51.836955434622951</v>
      </c>
      <c r="L19" s="56">
        <f>SUM(L16:L18)</f>
        <v>504.67801956192807</v>
      </c>
      <c r="M19" s="56">
        <f>H19-N19</f>
        <v>1001.6561974606384</v>
      </c>
      <c r="N19" s="57">
        <v>2254.8820000000001</v>
      </c>
    </row>
    <row r="20" spans="1:14" ht="16.5" customHeight="1" x14ac:dyDescent="0.3">
      <c r="A20" s="35" t="s">
        <v>104</v>
      </c>
      <c r="B20" s="128"/>
      <c r="C20" s="128"/>
      <c r="D20" s="128"/>
      <c r="E20" s="53"/>
      <c r="F20" s="55"/>
      <c r="G20" s="56">
        <f>(13.511735+22.972721+5.958844)*2.204622/60</f>
        <v>1.5595238822100002</v>
      </c>
      <c r="H20" s="57"/>
      <c r="I20" s="128"/>
      <c r="J20" s="57">
        <f>5.764867*2000/60</f>
        <v>192.16223333333335</v>
      </c>
      <c r="K20" s="58"/>
      <c r="L20" s="56">
        <f>(18.610925+2552.241)*2.204622/60</f>
        <v>94.462611876622503</v>
      </c>
      <c r="M20" s="56"/>
      <c r="N20" s="57"/>
    </row>
    <row r="21" spans="1:14" ht="16.5" customHeight="1" x14ac:dyDescent="0.3">
      <c r="A21" s="35" t="s">
        <v>105</v>
      </c>
      <c r="B21" s="128"/>
      <c r="C21" s="128"/>
      <c r="D21" s="128"/>
      <c r="E21" s="53"/>
      <c r="F21" s="55"/>
      <c r="G21" s="56">
        <f>(5.570598+10.245373+9.643559)*2.204622/60</f>
        <v>0.93547733246100007</v>
      </c>
      <c r="H21" s="57"/>
      <c r="I21" s="128"/>
      <c r="J21" s="57">
        <f>5.501825*2000/60</f>
        <v>183.39416666666665</v>
      </c>
      <c r="K21" s="58"/>
      <c r="L21" s="56">
        <f>(20.838345+2142.276)*2.204622/60</f>
        <v>79.480824558376497</v>
      </c>
      <c r="M21" s="56"/>
      <c r="N21" s="57"/>
    </row>
    <row r="22" spans="1:14" ht="16.5" customHeight="1" x14ac:dyDescent="0.3">
      <c r="A22" s="35" t="s">
        <v>106</v>
      </c>
      <c r="B22" s="128"/>
      <c r="C22" s="128"/>
      <c r="D22" s="128"/>
      <c r="E22" s="53"/>
      <c r="F22" s="55"/>
      <c r="G22" s="56">
        <f>(2.133054+19.16263+9.57398)*2.204622/60</f>
        <v>1.1342656731168002</v>
      </c>
      <c r="H22" s="57"/>
      <c r="I22" s="128"/>
      <c r="J22" s="57">
        <f>5.386534*2000/60</f>
        <v>179.55113333333335</v>
      </c>
      <c r="K22" s="58"/>
      <c r="L22" s="56">
        <f>(21.557089+1943.847)*2.204622/60</f>
        <v>72.216218224989291</v>
      </c>
      <c r="M22" s="56"/>
      <c r="N22" s="57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2254.8820000000001</v>
      </c>
      <c r="F23" s="59"/>
      <c r="G23" s="56">
        <f>SUM(G20:G22)</f>
        <v>3.6292668877878005</v>
      </c>
      <c r="H23" s="57">
        <f>E23+F23+G23</f>
        <v>2258.5112668877878</v>
      </c>
      <c r="I23" s="57"/>
      <c r="J23" s="57">
        <f>SUM(J20:J22)</f>
        <v>555.10753333333332</v>
      </c>
      <c r="K23" s="60">
        <f>M23-L23-J23</f>
        <v>75.86807889446618</v>
      </c>
      <c r="L23" s="56">
        <f>SUM(L20:L22)</f>
        <v>246.15965465998829</v>
      </c>
      <c r="M23" s="56">
        <f>H23-N23</f>
        <v>877.13526688778779</v>
      </c>
      <c r="N23" s="57">
        <v>1381.376</v>
      </c>
    </row>
    <row r="24" spans="1:14" ht="16.5" customHeight="1" x14ac:dyDescent="0.3">
      <c r="A24" s="35" t="s">
        <v>166</v>
      </c>
      <c r="B24" s="38"/>
      <c r="C24" s="38"/>
      <c r="D24" s="38"/>
      <c r="E24" s="53"/>
      <c r="F24" s="59"/>
      <c r="G24" s="56">
        <f>(2.390293+33.764567+8.787479)*2.204622/60</f>
        <v>1.6513478215142998</v>
      </c>
      <c r="H24" s="57"/>
      <c r="I24" s="57"/>
      <c r="J24" s="57">
        <f>5.318419*2000/60</f>
        <v>177.28063333333333</v>
      </c>
      <c r="K24" s="60"/>
      <c r="L24" s="56">
        <f>(21.146851+1778.049)*2.204622/60</f>
        <v>66.109112590388705</v>
      </c>
      <c r="M24" s="56"/>
      <c r="N24" s="57"/>
    </row>
    <row r="25" spans="1:14" ht="16.5" customHeight="1" x14ac:dyDescent="0.3">
      <c r="A25" s="35" t="s">
        <v>167</v>
      </c>
      <c r="B25" s="38"/>
      <c r="C25" s="38"/>
      <c r="D25" s="38"/>
      <c r="E25" s="53"/>
      <c r="F25" s="59"/>
      <c r="G25" s="56">
        <f>(2.3824143+38.020274+7.574612)*2.204622/60</f>
        <v>1.7628635290331103</v>
      </c>
      <c r="H25" s="57"/>
      <c r="I25" s="57"/>
      <c r="J25" s="57">
        <f>5.535196*2000/60</f>
        <v>184.50653333333332</v>
      </c>
      <c r="K25" s="60"/>
      <c r="L25" s="56">
        <f>(24.132099+2192.059)*2.204622/60</f>
        <v>81.431060884326314</v>
      </c>
      <c r="M25" s="56"/>
      <c r="N25" s="57"/>
    </row>
    <row r="26" spans="1:14" ht="16.5" customHeight="1" x14ac:dyDescent="0.3">
      <c r="A26" s="35" t="s">
        <v>168</v>
      </c>
      <c r="B26" s="38"/>
      <c r="C26" s="38"/>
      <c r="D26" s="38"/>
      <c r="E26" s="53"/>
      <c r="F26" s="59"/>
      <c r="G26" s="56">
        <f>(0.701049+12.986497+5.864772)*2.204622/60</f>
        <v>0.71842450689659998</v>
      </c>
      <c r="H26" s="57"/>
      <c r="I26" s="57"/>
      <c r="J26" s="57">
        <f>5.24023*2000/60</f>
        <v>174.67433333333335</v>
      </c>
      <c r="K26" s="60"/>
      <c r="L26" s="56">
        <f>(30.796122+4519.964)*2.204622/60</f>
        <v>167.21176469473139</v>
      </c>
      <c r="M26" s="56"/>
      <c r="N26" s="57"/>
    </row>
    <row r="27" spans="1:14" ht="16.5" customHeight="1" x14ac:dyDescent="0.3">
      <c r="A27" s="61" t="s">
        <v>74</v>
      </c>
      <c r="B27" s="38"/>
      <c r="C27" s="38"/>
      <c r="D27" s="38"/>
      <c r="E27" s="53">
        <f>N23</f>
        <v>1381.376</v>
      </c>
      <c r="F27" s="59"/>
      <c r="G27" s="56">
        <f>SUM(G24:G26)</f>
        <v>4.1326358574440096</v>
      </c>
      <c r="H27" s="57">
        <f>E27+F27+G27</f>
        <v>1385.508635857444</v>
      </c>
      <c r="I27" s="57"/>
      <c r="J27" s="57">
        <f>SUM(J24:J26)</f>
        <v>536.4615</v>
      </c>
      <c r="K27" s="60">
        <f>M27-L27-J27</f>
        <v>10.817197687997691</v>
      </c>
      <c r="L27" s="56">
        <f>SUM(L24:L26)</f>
        <v>314.75193816944636</v>
      </c>
      <c r="M27" s="56">
        <f>H27-N27</f>
        <v>862.03063585744405</v>
      </c>
      <c r="N27" s="57">
        <v>523.47799999999995</v>
      </c>
    </row>
    <row r="28" spans="1:14" ht="16.5" customHeight="1" x14ac:dyDescent="0.3">
      <c r="A28" s="35" t="s">
        <v>3</v>
      </c>
      <c r="B28" s="128"/>
      <c r="C28" s="128"/>
      <c r="D28" s="128"/>
      <c r="E28" s="53"/>
      <c r="F28" s="55">
        <f>F15</f>
        <v>3551.9079999999999</v>
      </c>
      <c r="G28" s="56">
        <f>G15+G19+G23+G27</f>
        <v>15.399722739414511</v>
      </c>
      <c r="H28" s="57">
        <f>E15+F28+G28</f>
        <v>4476.3597227394148</v>
      </c>
      <c r="I28" s="128"/>
      <c r="J28" s="57">
        <f>J15+J19+J23+J27</f>
        <v>2164.5542333333333</v>
      </c>
      <c r="K28" s="60">
        <f>K15+K19+K23+K27</f>
        <v>112.07097925332675</v>
      </c>
      <c r="L28" s="56">
        <f>L15+L19+L23+L27</f>
        <v>1676.2565101527543</v>
      </c>
      <c r="M28" s="56">
        <f>M15+M19+M23+M27</f>
        <v>3952.8817227394143</v>
      </c>
      <c r="N28" s="57"/>
    </row>
    <row r="29" spans="1:14" ht="16.5" customHeight="1" x14ac:dyDescent="0.3">
      <c r="A29" s="35"/>
      <c r="B29" s="128"/>
      <c r="C29" s="128"/>
      <c r="D29" s="128"/>
      <c r="E29" s="53"/>
      <c r="F29" s="55"/>
      <c r="G29" s="56"/>
      <c r="H29" s="57"/>
      <c r="I29" s="128"/>
      <c r="J29" s="57"/>
      <c r="K29" s="60"/>
      <c r="L29" s="56"/>
      <c r="M29" s="56"/>
      <c r="N29" s="57"/>
    </row>
    <row r="30" spans="1:14" ht="16.5" customHeight="1" x14ac:dyDescent="0.3">
      <c r="A30" s="35" t="s">
        <v>169</v>
      </c>
      <c r="B30" s="128"/>
      <c r="C30" s="128"/>
      <c r="D30" s="128"/>
      <c r="E30" s="53"/>
      <c r="F30" s="55"/>
      <c r="G30" s="56"/>
      <c r="H30" s="57"/>
      <c r="I30" s="128"/>
      <c r="J30" s="57"/>
      <c r="K30" s="60"/>
      <c r="L30" s="56"/>
      <c r="M30" s="56"/>
      <c r="N30" s="57"/>
    </row>
    <row r="31" spans="1:14" ht="16.5" customHeight="1" x14ac:dyDescent="0.3">
      <c r="A31" s="38" t="s">
        <v>93</v>
      </c>
      <c r="B31" s="128"/>
      <c r="C31" s="128"/>
      <c r="D31" s="128"/>
      <c r="E31" s="53"/>
      <c r="F31" s="55"/>
      <c r="G31" s="56">
        <f>(0.991907+40.308831+3.223895)*2.204622/60</f>
        <v>1.6359997575620999</v>
      </c>
      <c r="I31" s="128"/>
      <c r="J31" s="57">
        <f>5.131665*2000/60</f>
        <v>171.05549999999999</v>
      </c>
      <c r="K31" s="58"/>
      <c r="L31" s="56">
        <f>(34.30443+7745.938)*2.204622/60</f>
        <v>285.87489377519103</v>
      </c>
      <c r="M31" s="56"/>
      <c r="N31" s="57"/>
    </row>
    <row r="32" spans="1:14" ht="16.5" customHeight="1" x14ac:dyDescent="0.3">
      <c r="A32" s="38" t="s">
        <v>98</v>
      </c>
      <c r="B32" s="128"/>
      <c r="C32" s="128"/>
      <c r="D32" s="128"/>
      <c r="E32" s="148"/>
      <c r="F32" s="55"/>
      <c r="G32" s="56">
        <f>(2.771319+17.330953+4.808326)*2.204622/60</f>
        <v>0.91530753973260004</v>
      </c>
      <c r="I32" s="128"/>
      <c r="J32" s="57">
        <f>5.897079*2000/60</f>
        <v>196.5693</v>
      </c>
      <c r="K32" s="58"/>
      <c r="L32" s="56">
        <f>(44.27145+11395.504)*2.204622/60</f>
        <v>420.33967720216503</v>
      </c>
      <c r="M32" s="56"/>
      <c r="N32" s="57"/>
    </row>
    <row r="33" spans="1:73" ht="16.5" customHeight="1" x14ac:dyDescent="0.3">
      <c r="A33" s="34" t="s">
        <v>170</v>
      </c>
      <c r="B33" s="122"/>
      <c r="C33" s="122"/>
      <c r="D33" s="122"/>
      <c r="E33" s="160">
        <f>N27</f>
        <v>523.47799999999995</v>
      </c>
      <c r="F33" s="161">
        <v>4170.2619999999997</v>
      </c>
      <c r="G33" s="62">
        <f>G31+G32</f>
        <v>2.5513072972947</v>
      </c>
      <c r="H33" s="123">
        <f>E33+F33+G33</f>
        <v>4696.2913072972942</v>
      </c>
      <c r="I33" s="139"/>
      <c r="J33" s="123">
        <f t="shared" ref="J33:L33" si="6">J31+J32</f>
        <v>367.62479999999999</v>
      </c>
      <c r="K33" s="62"/>
      <c r="L33" s="62">
        <f t="shared" si="6"/>
        <v>706.21457097735606</v>
      </c>
      <c r="M33" s="62"/>
      <c r="N33" s="122"/>
    </row>
    <row r="34" spans="1:73" ht="16.5" customHeight="1" x14ac:dyDescent="0.3">
      <c r="A34" s="63" t="s">
        <v>154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64"/>
      <c r="M34" s="38"/>
      <c r="N34" s="38"/>
    </row>
    <row r="35" spans="1:73" ht="16.5" customHeight="1" x14ac:dyDescent="0.35">
      <c r="A35" s="35" t="s">
        <v>164</v>
      </c>
      <c r="B35" s="35"/>
      <c r="C35" s="35"/>
      <c r="D35" s="3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73" ht="16.5" customHeight="1" x14ac:dyDescent="0.35">
      <c r="A36" s="66" t="s">
        <v>69</v>
      </c>
      <c r="B36" s="35"/>
      <c r="C36" s="35"/>
      <c r="D36" s="3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ht="16.5" customHeight="1" x14ac:dyDescent="0.3">
      <c r="A37" s="39" t="s">
        <v>20</v>
      </c>
      <c r="B37" s="67">
        <f ca="1">NOW()</f>
        <v>44176.610964814812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x14ac:dyDescent="0.25"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5"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5"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5">
      <c r="F41" s="15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5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5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5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5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64" t="s">
        <v>0</v>
      </c>
      <c r="C2" s="164"/>
      <c r="D2" s="164"/>
      <c r="E2" s="164"/>
      <c r="F2" s="38"/>
      <c r="G2" s="164" t="s">
        <v>19</v>
      </c>
      <c r="H2" s="164"/>
      <c r="I2" s="164"/>
      <c r="J2" s="35"/>
    </row>
    <row r="3" spans="1:12" ht="14" x14ac:dyDescent="0.3">
      <c r="A3" s="35" t="s">
        <v>75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76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86</v>
      </c>
    </row>
    <row r="5" spans="1:12" ht="14.5" x14ac:dyDescent="0.35">
      <c r="A5" s="35"/>
      <c r="B5" s="165" t="s">
        <v>94</v>
      </c>
      <c r="C5" s="165"/>
      <c r="D5" s="165"/>
      <c r="E5" s="165"/>
      <c r="F5" s="165"/>
      <c r="G5" s="165"/>
      <c r="H5" s="165"/>
      <c r="I5" s="165"/>
      <c r="J5" s="165"/>
    </row>
    <row r="6" spans="1:12" ht="16.5" x14ac:dyDescent="0.3">
      <c r="A6" s="35" t="s">
        <v>141</v>
      </c>
      <c r="B6" s="68">
        <v>555.42399999999998</v>
      </c>
      <c r="C6" s="69">
        <v>48813.759999999995</v>
      </c>
      <c r="D6" s="69">
        <v>683.345988757908</v>
      </c>
      <c r="E6" s="49">
        <f t="shared" ref="E6:E7" si="0">SUM(B6:D6)</f>
        <v>50052.529988757902</v>
      </c>
      <c r="F6" s="69"/>
      <c r="G6" s="69">
        <f t="shared" ref="G6:G7" si="1">I6-H6</f>
        <v>36212.450812999567</v>
      </c>
      <c r="H6" s="69">
        <v>13438.064175758334</v>
      </c>
      <c r="I6" s="69">
        <f t="shared" ref="I6:I7" si="2">E6-J6</f>
        <v>49650.514988757903</v>
      </c>
      <c r="J6" s="69">
        <v>402.01499999999999</v>
      </c>
    </row>
    <row r="7" spans="1:12" ht="16.5" x14ac:dyDescent="0.3">
      <c r="A7" s="35" t="s">
        <v>145</v>
      </c>
      <c r="B7" s="68">
        <f>J6</f>
        <v>402.01499999999999</v>
      </c>
      <c r="C7" s="69">
        <f>C23</f>
        <v>51100.43</v>
      </c>
      <c r="D7" s="69">
        <f>D23</f>
        <v>639.279164260926</v>
      </c>
      <c r="E7" s="49">
        <f t="shared" si="0"/>
        <v>52141.724164260922</v>
      </c>
      <c r="F7" s="69"/>
      <c r="G7" s="69">
        <f t="shared" si="1"/>
        <v>37723.484000376411</v>
      </c>
      <c r="H7" s="69">
        <f>H23</f>
        <v>14076.904163884506</v>
      </c>
      <c r="I7" s="69">
        <f t="shared" si="2"/>
        <v>51800.388164260919</v>
      </c>
      <c r="J7" s="69">
        <f>J22</f>
        <v>341.33600000000001</v>
      </c>
    </row>
    <row r="8" spans="1:12" ht="16.5" x14ac:dyDescent="0.3">
      <c r="A8" s="35" t="s">
        <v>157</v>
      </c>
      <c r="B8" s="68">
        <f>J7</f>
        <v>341.33600000000001</v>
      </c>
      <c r="C8" s="69">
        <v>51709</v>
      </c>
      <c r="D8" s="69">
        <v>600</v>
      </c>
      <c r="E8" s="49">
        <f t="shared" ref="E8" si="3">SUM(B8:D8)</f>
        <v>52650.336000000003</v>
      </c>
      <c r="F8" s="69"/>
      <c r="G8" s="69">
        <f t="shared" ref="G8" si="4">I8-H8</f>
        <v>38300.336000000003</v>
      </c>
      <c r="H8" s="69">
        <v>14000</v>
      </c>
      <c r="I8" s="69">
        <f t="shared" ref="I8" si="5">E8-J8</f>
        <v>52300.336000000003</v>
      </c>
      <c r="J8" s="69">
        <v>350</v>
      </c>
    </row>
    <row r="9" spans="1:12" ht="14" x14ac:dyDescent="0.3">
      <c r="A9" s="35"/>
      <c r="B9" s="70"/>
      <c r="C9" s="70"/>
      <c r="D9" s="70"/>
      <c r="E9" s="70"/>
      <c r="F9" s="70"/>
      <c r="G9" s="69"/>
      <c r="H9" s="70"/>
      <c r="I9" s="70"/>
      <c r="J9" s="70"/>
    </row>
    <row r="10" spans="1:12" ht="15.5" x14ac:dyDescent="0.35">
      <c r="A10" s="38" t="s">
        <v>146</v>
      </c>
      <c r="B10" s="72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2">
        <f>360.387+41.628</f>
        <v>402.01499999999999</v>
      </c>
      <c r="C11" s="56">
        <f>4105.453+276.379</f>
        <v>4381.8320000000003</v>
      </c>
      <c r="D11" s="56">
        <f>(34717.207+8327+125.964+103.856)*2.204622/2000</f>
        <v>47.701435976397008</v>
      </c>
      <c r="E11" s="56">
        <f t="shared" ref="E11" si="6">SUM(B11:D11)</f>
        <v>4831.5484359763977</v>
      </c>
      <c r="F11" s="71"/>
      <c r="G11" s="73">
        <f t="shared" ref="G11:G22" si="7">I11-H11</f>
        <v>3326.9284705422137</v>
      </c>
      <c r="H11" s="73">
        <f>((785.683617+14.393+233.530927))*(2.204622/2)</f>
        <v>1139.3569654341841</v>
      </c>
      <c r="I11" s="71">
        <f t="shared" ref="I11:I22" si="8">E11-J11</f>
        <v>4466.2854359763978</v>
      </c>
      <c r="J11" s="73">
        <f>335.087+30.176</f>
        <v>365.26299999999998</v>
      </c>
      <c r="K11" s="19"/>
      <c r="L11" s="19"/>
    </row>
    <row r="12" spans="1:12" ht="15.5" x14ac:dyDescent="0.35">
      <c r="A12" s="38" t="s">
        <v>51</v>
      </c>
      <c r="B12" s="72">
        <f t="shared" ref="B12:B22" si="9">J11</f>
        <v>365.26299999999998</v>
      </c>
      <c r="C12" s="56">
        <f>3855.827+255.945</f>
        <v>4111.7719999999999</v>
      </c>
      <c r="D12" s="56">
        <f>(29823.451+2961+130.165+90.108)*2.204622/2000</f>
        <v>36.381470317164009</v>
      </c>
      <c r="E12" s="56">
        <f t="shared" ref="E12:E18" si="10">SUM(B12:D12)</f>
        <v>4513.4164703171637</v>
      </c>
      <c r="F12" s="56"/>
      <c r="G12" s="73">
        <f t="shared" si="7"/>
        <v>2798.9963823138437</v>
      </c>
      <c r="H12" s="73">
        <f>((866.134196+3.458+261.673924))*(2.204622/2)</f>
        <v>1247.00708800332</v>
      </c>
      <c r="I12" s="71">
        <f t="shared" si="8"/>
        <v>4046.0034703171636</v>
      </c>
      <c r="J12" s="56">
        <f>426.332+41.081</f>
        <v>467.41300000000001</v>
      </c>
      <c r="K12" s="19"/>
      <c r="L12" s="19"/>
    </row>
    <row r="13" spans="1:12" ht="15.5" x14ac:dyDescent="0.35">
      <c r="A13" s="38" t="s">
        <v>52</v>
      </c>
      <c r="B13" s="72">
        <f t="shared" si="9"/>
        <v>467.41300000000001</v>
      </c>
      <c r="C13" s="56">
        <f>4062.929+274.643</f>
        <v>4337.5720000000001</v>
      </c>
      <c r="D13" s="56">
        <f>(33710.056+13585+182.009+72.517)*2.204622/2000</f>
        <v>52.414427284001995</v>
      </c>
      <c r="E13" s="56">
        <f t="shared" si="10"/>
        <v>4857.3994272840027</v>
      </c>
      <c r="F13" s="56"/>
      <c r="G13" s="73">
        <f t="shared" si="7"/>
        <v>3384.5441774417495</v>
      </c>
      <c r="H13" s="73">
        <f>((764.679901+9.721+219.677222))*(2.204622/2)</f>
        <v>1095.7832498422531</v>
      </c>
      <c r="I13" s="71">
        <f t="shared" si="8"/>
        <v>4480.3274272840026</v>
      </c>
      <c r="J13" s="56">
        <f>342.085+34.987</f>
        <v>377.072</v>
      </c>
      <c r="K13" s="19"/>
      <c r="L13" s="19"/>
    </row>
    <row r="14" spans="1:12" ht="15.5" x14ac:dyDescent="0.35">
      <c r="A14" s="38" t="s">
        <v>53</v>
      </c>
      <c r="B14" s="72">
        <f t="shared" si="9"/>
        <v>377.072</v>
      </c>
      <c r="C14" s="56">
        <f>4144.355+281.394</f>
        <v>4425.7489999999998</v>
      </c>
      <c r="D14" s="56">
        <f>(50090.882+4913+179.878+155.261)*2.204622/2000</f>
        <v>61.000811577530996</v>
      </c>
      <c r="E14" s="56">
        <f t="shared" si="10"/>
        <v>4863.8218115775308</v>
      </c>
      <c r="F14" s="56"/>
      <c r="G14" s="73">
        <f t="shared" si="7"/>
        <v>3435.4339578735735</v>
      </c>
      <c r="H14" s="73">
        <f>((709.103359+18.259+255.531628))*(2.204622/2)</f>
        <v>1083.454853703957</v>
      </c>
      <c r="I14" s="71">
        <f t="shared" si="8"/>
        <v>4518.8888115775308</v>
      </c>
      <c r="J14" s="56">
        <f>302.321+42.612</f>
        <v>344.93300000000005</v>
      </c>
      <c r="K14" s="19"/>
      <c r="L14" s="19"/>
    </row>
    <row r="15" spans="1:12" ht="15.5" x14ac:dyDescent="0.35">
      <c r="A15" s="38" t="s">
        <v>54</v>
      </c>
      <c r="B15" s="72">
        <f t="shared" si="9"/>
        <v>344.93300000000005</v>
      </c>
      <c r="C15" s="56">
        <f>3863.475+259.153</f>
        <v>4122.6279999999997</v>
      </c>
      <c r="D15" s="56">
        <f>(41456.755+3685+293.02+207.359)*2.204622/2000</f>
        <v>50.311826371673988</v>
      </c>
      <c r="E15" s="56">
        <f t="shared" si="10"/>
        <v>4517.8728263716739</v>
      </c>
      <c r="F15" s="56"/>
      <c r="G15" s="73">
        <f t="shared" si="7"/>
        <v>2687.3697811372549</v>
      </c>
      <c r="H15" s="73">
        <f>((1026.306442+5.115+227.891987))*(2.204622/2)</f>
        <v>1388.155045234419</v>
      </c>
      <c r="I15" s="71">
        <f t="shared" si="8"/>
        <v>4075.524826371674</v>
      </c>
      <c r="J15" s="56">
        <f>396.511+45.837</f>
        <v>442.34800000000001</v>
      </c>
      <c r="K15" s="19"/>
      <c r="L15" s="19"/>
    </row>
    <row r="16" spans="1:12" ht="15.5" x14ac:dyDescent="0.35">
      <c r="A16" s="38" t="s">
        <v>55</v>
      </c>
      <c r="B16" s="72">
        <f t="shared" si="9"/>
        <v>442.34800000000001</v>
      </c>
      <c r="C16" s="56">
        <f>4234.605+283.308</f>
        <v>4517.9129999999996</v>
      </c>
      <c r="D16" s="56">
        <f>(52975.114+4417+49.514+310.515)*2.204622/2000</f>
        <v>63.660822502473003</v>
      </c>
      <c r="E16" s="56">
        <f t="shared" si="10"/>
        <v>5023.9218225024724</v>
      </c>
      <c r="F16" s="56"/>
      <c r="G16" s="73">
        <f t="shared" si="7"/>
        <v>3277.7267723843088</v>
      </c>
      <c r="H16" s="73">
        <f>((966.396996+5.084+236.114728))*(2.204622/2)</f>
        <v>1331.1460501181639</v>
      </c>
      <c r="I16" s="71">
        <f t="shared" si="8"/>
        <v>4608.8728225024724</v>
      </c>
      <c r="J16" s="56">
        <f>368.552+46.497</f>
        <v>415.04900000000004</v>
      </c>
      <c r="K16" s="19"/>
      <c r="L16" s="19"/>
    </row>
    <row r="17" spans="1:12" ht="15.5" x14ac:dyDescent="0.35">
      <c r="A17" s="38" t="s">
        <v>56</v>
      </c>
      <c r="B17" s="72">
        <f t="shared" si="9"/>
        <v>415.04900000000004</v>
      </c>
      <c r="C17" s="56">
        <f>4039.265+272.912</f>
        <v>4312.1769999999997</v>
      </c>
      <c r="D17" s="56">
        <f>(43596.712+4455+129.156+140.58)*2.204622/2000</f>
        <v>53.265263666328003</v>
      </c>
      <c r="E17" s="56">
        <f t="shared" si="10"/>
        <v>4780.4912636663275</v>
      </c>
      <c r="F17" s="56"/>
      <c r="G17" s="73">
        <f t="shared" si="7"/>
        <v>3177.7169864129364</v>
      </c>
      <c r="H17" s="73">
        <f>((860.759415+13.997+228.907866))*(2.204622/2)</f>
        <v>1216.5812772533909</v>
      </c>
      <c r="I17" s="71">
        <f t="shared" si="8"/>
        <v>4394.2982636663273</v>
      </c>
      <c r="J17" s="56">
        <f>341.681+44.512</f>
        <v>386.19299999999998</v>
      </c>
      <c r="K17" s="19"/>
      <c r="L17" s="19"/>
    </row>
    <row r="18" spans="1:12" ht="15.5" x14ac:dyDescent="0.35">
      <c r="A18" s="38" t="s">
        <v>57</v>
      </c>
      <c r="B18" s="72">
        <f t="shared" si="9"/>
        <v>386.19299999999998</v>
      </c>
      <c r="C18" s="56">
        <f>3970.047+270.933</f>
        <v>4240.9799999999996</v>
      </c>
      <c r="D18" s="56">
        <f>(37305.065+3502+57.044+184.091)*2.204622/2000</f>
        <v>45.247882390200004</v>
      </c>
      <c r="E18" s="56">
        <f t="shared" si="10"/>
        <v>4672.4208823901999</v>
      </c>
      <c r="F18" s="56"/>
      <c r="G18" s="73">
        <f t="shared" si="7"/>
        <v>3079.8223548584401</v>
      </c>
      <c r="H18" s="73">
        <f>((740.918471+16.721+235.502689))*(2.204622/2)</f>
        <v>1094.7515275317601</v>
      </c>
      <c r="I18" s="71">
        <f t="shared" si="8"/>
        <v>4174.5738823902002</v>
      </c>
      <c r="J18" s="56">
        <f>442.173+55.674</f>
        <v>497.84699999999998</v>
      </c>
      <c r="K18" s="19"/>
      <c r="L18" s="19"/>
    </row>
    <row r="19" spans="1:12" ht="15.5" x14ac:dyDescent="0.35">
      <c r="A19" s="38" t="s">
        <v>58</v>
      </c>
      <c r="B19" s="72">
        <f t="shared" si="9"/>
        <v>497.84699999999998</v>
      </c>
      <c r="C19" s="56">
        <f>3904.725+262.751</f>
        <v>4167.4759999999997</v>
      </c>
      <c r="D19" s="56">
        <f>(33413.436+2627+130.744+121.582)*2.204622/2000</f>
        <v>40.005910772982006</v>
      </c>
      <c r="E19" s="56">
        <f t="shared" ref="E19" si="11">SUM(B19:D19)</f>
        <v>4705.3289107729815</v>
      </c>
      <c r="F19" s="56"/>
      <c r="G19" s="73">
        <f t="shared" si="7"/>
        <v>3062.0751743096025</v>
      </c>
      <c r="H19" s="73">
        <f>((823.744033+10.41+237.186756))*(2.204622/2)</f>
        <v>1180.9507364633789</v>
      </c>
      <c r="I19" s="71">
        <f t="shared" si="8"/>
        <v>4243.0259107729817</v>
      </c>
      <c r="J19" s="56">
        <f>420.426+41.877</f>
        <v>462.303</v>
      </c>
      <c r="K19" s="19"/>
      <c r="L19" s="19"/>
    </row>
    <row r="20" spans="1:12" ht="15.5" x14ac:dyDescent="0.35">
      <c r="A20" s="38" t="s">
        <v>60</v>
      </c>
      <c r="B20" s="72">
        <f t="shared" si="9"/>
        <v>462.303</v>
      </c>
      <c r="C20" s="56">
        <f>4080.746+280.424</f>
        <v>4361.17</v>
      </c>
      <c r="D20" s="56">
        <f>(47678.67+3348+387.614+915.017)*2.204622/2000</f>
        <v>57.683164114611003</v>
      </c>
      <c r="E20" s="56">
        <f t="shared" ref="E20" si="12">SUM(B20:D20)</f>
        <v>4881.1561641146109</v>
      </c>
      <c r="F20" s="56"/>
      <c r="G20" s="73">
        <f t="shared" si="7"/>
        <v>3284.6331330738053</v>
      </c>
      <c r="H20" s="73">
        <f>((790.336731+7.915+241.385024))*(2.204622/2)</f>
        <v>1146.0030310408051</v>
      </c>
      <c r="I20" s="71">
        <f t="shared" si="8"/>
        <v>4430.6361641146104</v>
      </c>
      <c r="J20" s="56">
        <f>411.925+38.595</f>
        <v>450.52</v>
      </c>
      <c r="K20" s="19"/>
      <c r="L20" s="19"/>
    </row>
    <row r="21" spans="1:12" ht="15.5" x14ac:dyDescent="0.35">
      <c r="A21" s="38" t="s">
        <v>61</v>
      </c>
      <c r="B21" s="72">
        <f t="shared" si="9"/>
        <v>450.52</v>
      </c>
      <c r="C21" s="56">
        <f>3851.205+260.54</f>
        <v>4111.7449999999999</v>
      </c>
      <c r="D21" s="56">
        <f>(45234.399+8392+185.404+1077.226)*2.204622/2000</f>
        <v>60.504780446019005</v>
      </c>
      <c r="E21" s="56">
        <f t="shared" ref="E21" si="13">SUM(B21:D21)</f>
        <v>4622.7697804460186</v>
      </c>
      <c r="F21" s="56"/>
      <c r="G21" s="73">
        <f t="shared" si="7"/>
        <v>3106.233034962208</v>
      </c>
      <c r="H21" s="73">
        <f>((748.764091+13.463+231.53941))*(2.204622/2)</f>
        <v>1095.4397454838111</v>
      </c>
      <c r="I21" s="71">
        <f t="shared" si="8"/>
        <v>4201.6727804460188</v>
      </c>
      <c r="J21" s="56">
        <f>388.138+32.959</f>
        <v>421.09699999999998</v>
      </c>
      <c r="K21" s="19"/>
      <c r="L21" s="19"/>
    </row>
    <row r="22" spans="1:12" ht="15.5" x14ac:dyDescent="0.35">
      <c r="A22" s="38" t="s">
        <v>63</v>
      </c>
      <c r="B22" s="72">
        <f t="shared" si="9"/>
        <v>421.09699999999998</v>
      </c>
      <c r="C22" s="56">
        <f>3754.168+255.248</f>
        <v>4009.4160000000002</v>
      </c>
      <c r="D22" s="56">
        <f>(60244.927+3644+284.761+328.407)*2.204622/2000</f>
        <v>71.101368841544996</v>
      </c>
      <c r="E22" s="56">
        <f t="shared" ref="E22" si="14">SUM(B22:D22)</f>
        <v>4501.614368841545</v>
      </c>
      <c r="F22" s="56"/>
      <c r="G22" s="73">
        <f t="shared" si="7"/>
        <v>3102.0037750664815</v>
      </c>
      <c r="H22" s="73">
        <f>((724.522648+15.008+220.520185))*(2.204622/2)</f>
        <v>1058.2745937750631</v>
      </c>
      <c r="I22" s="71">
        <f t="shared" si="8"/>
        <v>4160.2783688415448</v>
      </c>
      <c r="J22" s="56">
        <f>312.944+28.392</f>
        <v>341.33600000000001</v>
      </c>
      <c r="K22" s="19"/>
      <c r="L22" s="19"/>
    </row>
    <row r="23" spans="1:12" ht="15.5" x14ac:dyDescent="0.35">
      <c r="A23" s="38" t="s">
        <v>3</v>
      </c>
      <c r="B23" s="72"/>
      <c r="C23" s="56">
        <f>SUM(C11:C22)</f>
        <v>51100.43</v>
      </c>
      <c r="D23" s="56">
        <f>SUM(D11:D22)</f>
        <v>639.279164260926</v>
      </c>
      <c r="E23" s="56">
        <f>B11+C23+D23</f>
        <v>52141.724164260922</v>
      </c>
      <c r="F23" s="56"/>
      <c r="G23" s="73">
        <f t="shared" ref="G23:I23" si="15">SUM(G11:G22)</f>
        <v>37723.484000376426</v>
      </c>
      <c r="H23" s="73">
        <f t="shared" si="15"/>
        <v>14076.904163884506</v>
      </c>
      <c r="I23" s="71">
        <f t="shared" si="15"/>
        <v>51800.388164260919</v>
      </c>
      <c r="J23" s="56"/>
      <c r="K23" s="19"/>
      <c r="L23" s="19"/>
    </row>
    <row r="24" spans="1:12" ht="15.5" x14ac:dyDescent="0.35">
      <c r="A24" s="38"/>
      <c r="B24" s="72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169</v>
      </c>
      <c r="B25" s="72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4" t="s">
        <v>50</v>
      </c>
      <c r="B26" s="74">
        <f>J22</f>
        <v>341.33600000000001</v>
      </c>
      <c r="C26" s="62">
        <f>4335.054+280.538</f>
        <v>4615.5920000000006</v>
      </c>
      <c r="D26" s="62">
        <f>(58774.377+3828+317.69+198.763)*2.204622/2000</f>
        <v>69.576580616130002</v>
      </c>
      <c r="E26" s="62">
        <f t="shared" ref="E26" si="16">SUM(B26:D26)</f>
        <v>5026.5045806161306</v>
      </c>
      <c r="F26" s="62"/>
      <c r="G26" s="62">
        <f t="shared" ref="G26" si="17">I26-H26</f>
        <v>3554.9196279000498</v>
      </c>
      <c r="H26" s="62">
        <f>((722.750436+12.73+260.051635))*(2.204622/2)</f>
        <v>1097.3859527160812</v>
      </c>
      <c r="I26" s="62">
        <f t="shared" ref="I26" si="18">E26-J26</f>
        <v>4652.305580616131</v>
      </c>
      <c r="J26" s="62">
        <f>342.914+31.285</f>
        <v>374.19900000000001</v>
      </c>
      <c r="K26" s="19"/>
      <c r="L26" s="19"/>
    </row>
    <row r="27" spans="1:12" ht="17" x14ac:dyDescent="0.35">
      <c r="A27" s="75" t="s">
        <v>155</v>
      </c>
      <c r="B27" s="35"/>
      <c r="C27" s="35"/>
      <c r="D27" s="35"/>
      <c r="E27" s="35"/>
      <c r="F27" s="35"/>
      <c r="G27" s="35"/>
      <c r="H27" s="35"/>
      <c r="I27" s="35"/>
      <c r="J27" s="35"/>
      <c r="K27" s="19"/>
      <c r="L27" s="19"/>
    </row>
    <row r="28" spans="1:12" ht="15.5" x14ac:dyDescent="0.35">
      <c r="A28" s="35" t="s">
        <v>112</v>
      </c>
      <c r="B28" s="35"/>
      <c r="C28" s="35"/>
      <c r="D28" s="35"/>
      <c r="E28" s="35"/>
      <c r="F28" s="35"/>
      <c r="G28" s="35"/>
      <c r="H28" s="35"/>
      <c r="I28" s="35"/>
      <c r="J28" s="35"/>
      <c r="K28" s="19"/>
      <c r="L28" s="19"/>
    </row>
    <row r="29" spans="1:12" ht="15.5" x14ac:dyDescent="0.35">
      <c r="A29" s="39" t="s">
        <v>20</v>
      </c>
      <c r="B29" s="67">
        <f ca="1">NOW()</f>
        <v>44176.610964814812</v>
      </c>
      <c r="C29" s="55"/>
      <c r="D29" s="51"/>
      <c r="E29" s="51"/>
      <c r="F29" s="51"/>
      <c r="G29" s="51"/>
      <c r="H29" s="51"/>
      <c r="I29" s="51"/>
      <c r="J29" s="51"/>
      <c r="K29" s="19"/>
      <c r="L29" s="19"/>
    </row>
    <row r="30" spans="1:12" ht="15.5" x14ac:dyDescent="0.35">
      <c r="A30" s="1"/>
      <c r="B30" s="3"/>
      <c r="C30" s="4"/>
      <c r="D30" s="3"/>
      <c r="E30" s="3"/>
      <c r="F30" s="3"/>
      <c r="G30" s="3"/>
      <c r="H30" s="5"/>
      <c r="I30" s="3"/>
      <c r="J30" s="3"/>
      <c r="K30" s="19"/>
      <c r="L30" s="19"/>
    </row>
    <row r="31" spans="1:12" ht="15.5" x14ac:dyDescent="0.35">
      <c r="A31" s="1"/>
      <c r="B31" s="3"/>
      <c r="C31" s="3"/>
      <c r="D31" s="3"/>
      <c r="E31" s="3"/>
      <c r="F31" s="3"/>
      <c r="G31" s="3"/>
      <c r="H31" s="3"/>
      <c r="I31" s="3"/>
      <c r="J31" s="3"/>
      <c r="K31" s="19"/>
      <c r="L31" s="19"/>
    </row>
    <row r="32" spans="1:12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9"/>
      <c r="L32" s="19"/>
    </row>
    <row r="33" spans="1:12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9"/>
      <c r="L33" s="19"/>
    </row>
    <row r="34" spans="1:12" ht="15.5" x14ac:dyDescent="0.35">
      <c r="K34" s="19"/>
      <c r="L34" s="19"/>
    </row>
    <row r="35" spans="1:12" ht="15.5" x14ac:dyDescent="0.35">
      <c r="K35" s="19"/>
      <c r="L35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0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64" t="s">
        <v>0</v>
      </c>
      <c r="C2" s="164"/>
      <c r="D2" s="164"/>
      <c r="E2" s="164"/>
      <c r="F2" s="38"/>
      <c r="G2" s="164" t="s">
        <v>19</v>
      </c>
      <c r="H2" s="164"/>
      <c r="I2" s="164"/>
      <c r="J2" s="36"/>
      <c r="K2" s="36"/>
      <c r="L2" s="35"/>
    </row>
    <row r="3" spans="1:13" ht="14" x14ac:dyDescent="0.3">
      <c r="A3" s="35" t="s">
        <v>75</v>
      </c>
      <c r="B3" s="37" t="s">
        <v>30</v>
      </c>
      <c r="C3" s="76" t="s">
        <v>1</v>
      </c>
      <c r="D3" s="76" t="s">
        <v>31</v>
      </c>
      <c r="E3" s="76" t="s">
        <v>26</v>
      </c>
      <c r="F3" s="76"/>
      <c r="G3" s="36" t="s">
        <v>29</v>
      </c>
      <c r="H3" s="36"/>
      <c r="I3" s="36"/>
      <c r="J3" s="76" t="s">
        <v>33</v>
      </c>
      <c r="K3" s="76" t="s">
        <v>26</v>
      </c>
      <c r="L3" s="76" t="s">
        <v>28</v>
      </c>
    </row>
    <row r="4" spans="1:13" ht="14" x14ac:dyDescent="0.3">
      <c r="A4" s="40" t="s">
        <v>76</v>
      </c>
      <c r="B4" s="42" t="s">
        <v>27</v>
      </c>
      <c r="C4" s="43"/>
      <c r="D4" s="43"/>
      <c r="E4" s="43"/>
      <c r="F4" s="43"/>
      <c r="G4" s="42" t="s">
        <v>3</v>
      </c>
      <c r="H4" s="42" t="s">
        <v>87</v>
      </c>
      <c r="I4" s="42" t="s">
        <v>108</v>
      </c>
      <c r="J4" s="43"/>
      <c r="K4" s="43"/>
      <c r="L4" s="76" t="s">
        <v>86</v>
      </c>
    </row>
    <row r="5" spans="1:13" ht="14.5" x14ac:dyDescent="0.35">
      <c r="A5" s="35"/>
      <c r="B5" s="166" t="s">
        <v>99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141</v>
      </c>
      <c r="B7" s="70">
        <v>1995.434</v>
      </c>
      <c r="C7" s="70">
        <v>24197.199000000004</v>
      </c>
      <c r="D7" s="70">
        <v>397.26178192360805</v>
      </c>
      <c r="E7" s="70">
        <f t="shared" ref="E7:E8" si="0">SUM(B7:D7)</f>
        <v>26589.894781923613</v>
      </c>
      <c r="F7" s="70"/>
      <c r="G7" s="70">
        <f t="shared" ref="G7:G8" si="1">K7-J7</f>
        <v>22873.228761820905</v>
      </c>
      <c r="H7" s="49">
        <v>7863.3000000000011</v>
      </c>
      <c r="I7" s="49">
        <f t="shared" ref="I7:I8" si="2">G7-H7</f>
        <v>15009.928761820904</v>
      </c>
      <c r="J7" s="70">
        <v>1941.35002010271</v>
      </c>
      <c r="K7" s="70">
        <f t="shared" ref="K7:K8" si="3">E7-L7</f>
        <v>24814.578781923614</v>
      </c>
      <c r="L7" s="70">
        <v>1775.316</v>
      </c>
      <c r="M7" s="17"/>
    </row>
    <row r="8" spans="1:13" ht="16.5" x14ac:dyDescent="0.3">
      <c r="A8" s="35" t="s">
        <v>145</v>
      </c>
      <c r="B8" s="70">
        <f>L7</f>
        <v>1775.316</v>
      </c>
      <c r="C8" s="70">
        <f>C24</f>
        <v>24911.604000000003</v>
      </c>
      <c r="D8" s="70">
        <f>D24</f>
        <v>319.33808794654203</v>
      </c>
      <c r="E8" s="70">
        <f t="shared" si="0"/>
        <v>27006.258087946542</v>
      </c>
      <c r="F8" s="70"/>
      <c r="G8" s="70">
        <f t="shared" si="1"/>
        <v>22329.421436452205</v>
      </c>
      <c r="H8" s="49">
        <f>H24</f>
        <v>7857.82</v>
      </c>
      <c r="I8" s="49">
        <f t="shared" si="2"/>
        <v>14471.601436452205</v>
      </c>
      <c r="J8" s="70">
        <f>J24</f>
        <v>2828.306651494338</v>
      </c>
      <c r="K8" s="70">
        <f t="shared" si="3"/>
        <v>25157.728087946543</v>
      </c>
      <c r="L8" s="70">
        <f>L23</f>
        <v>1848.53</v>
      </c>
      <c r="M8" s="17"/>
    </row>
    <row r="9" spans="1:13" ht="16.5" x14ac:dyDescent="0.3">
      <c r="A9" s="35" t="s">
        <v>157</v>
      </c>
      <c r="B9" s="70">
        <f>L8</f>
        <v>1848.53</v>
      </c>
      <c r="C9" s="70">
        <v>25440</v>
      </c>
      <c r="D9" s="70">
        <v>350</v>
      </c>
      <c r="E9" s="70">
        <f t="shared" ref="E9" si="4">SUM(B9:D9)</f>
        <v>27638.53</v>
      </c>
      <c r="F9" s="70"/>
      <c r="G9" s="70">
        <f t="shared" ref="G9" si="5">K9-J9</f>
        <v>22999.53</v>
      </c>
      <c r="H9" s="49">
        <v>8100</v>
      </c>
      <c r="I9" s="49">
        <f t="shared" ref="I9" si="6">G9-H9</f>
        <v>14899.529999999999</v>
      </c>
      <c r="J9" s="70">
        <v>2750</v>
      </c>
      <c r="K9" s="70">
        <f t="shared" ref="K9" si="7">E9-L9</f>
        <v>25749.53</v>
      </c>
      <c r="L9" s="70">
        <v>1889</v>
      </c>
      <c r="M9" s="17"/>
    </row>
    <row r="10" spans="1:13" ht="14" x14ac:dyDescent="0.3">
      <c r="A10" s="35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7"/>
    </row>
    <row r="11" spans="1:13" ht="14" x14ac:dyDescent="0.3">
      <c r="A11" s="35" t="s">
        <v>146</v>
      </c>
      <c r="B11" s="144"/>
      <c r="C11" s="56"/>
      <c r="D11" s="56"/>
      <c r="E11" s="56"/>
      <c r="F11" s="71"/>
      <c r="G11" s="56"/>
      <c r="H11" s="56"/>
      <c r="I11" s="56"/>
      <c r="J11" s="56"/>
      <c r="K11" s="56"/>
      <c r="L11" s="71"/>
    </row>
    <row r="12" spans="1:13" ht="14" x14ac:dyDescent="0.3">
      <c r="A12" s="38" t="s">
        <v>50</v>
      </c>
      <c r="B12" s="71">
        <f>1400.569+374.747</f>
        <v>1775.316</v>
      </c>
      <c r="C12" s="56">
        <v>2149.9690000000001</v>
      </c>
      <c r="D12" s="71">
        <f>(0.907155+0+12.884502+0.018812)*2.204622</f>
        <v>30.446863787718002</v>
      </c>
      <c r="E12" s="56">
        <f t="shared" ref="E12:E19" si="8">SUM(B12:D12)</f>
        <v>3955.7318637877179</v>
      </c>
      <c r="F12" s="71"/>
      <c r="G12" s="71">
        <f t="shared" ref="G12:G23" si="9">K12-J12</f>
        <v>1882.2360980189258</v>
      </c>
      <c r="H12" s="56">
        <v>557.52</v>
      </c>
      <c r="I12" s="56">
        <f t="shared" ref="I12:I23" si="10">G12-H12</f>
        <v>1324.7160980189258</v>
      </c>
      <c r="J12" s="56">
        <f>(101.93585+0.105555+12.233566+0.274265)*2.204622</f>
        <v>252.53776576879199</v>
      </c>
      <c r="K12" s="56">
        <f t="shared" ref="K12:K23" si="11">E12-L12</f>
        <v>2134.7738637877178</v>
      </c>
      <c r="L12" s="71">
        <f>1471.929+349.029</f>
        <v>1820.9580000000001</v>
      </c>
      <c r="M12" s="148"/>
    </row>
    <row r="13" spans="1:13" ht="14" x14ac:dyDescent="0.3">
      <c r="A13" s="38" t="s">
        <v>51</v>
      </c>
      <c r="B13" s="71">
        <f t="shared" ref="B13:B23" si="12">L12</f>
        <v>1820.9580000000001</v>
      </c>
      <c r="C13" s="56">
        <v>1999.6479999999999</v>
      </c>
      <c r="D13" s="71">
        <f>(0.913381+0.102526+10.043143+0.035035)*2.204622</f>
        <v>24.458263860870005</v>
      </c>
      <c r="E13" s="56">
        <f t="shared" si="8"/>
        <v>3845.0642638608697</v>
      </c>
      <c r="F13" s="71"/>
      <c r="G13" s="71">
        <f t="shared" si="9"/>
        <v>1717.3474131108517</v>
      </c>
      <c r="H13" s="56">
        <v>526.53</v>
      </c>
      <c r="I13" s="56">
        <f t="shared" si="10"/>
        <v>1190.8174131108517</v>
      </c>
      <c r="J13" s="56">
        <f>(93.464898+0.168085+18.337287+0.229849)*2.204622</f>
        <v>247.35885075001804</v>
      </c>
      <c r="K13" s="56">
        <f t="shared" si="11"/>
        <v>1964.7062638608697</v>
      </c>
      <c r="L13" s="71">
        <f>1522.923+357.435</f>
        <v>1880.3579999999999</v>
      </c>
      <c r="M13" s="148"/>
    </row>
    <row r="14" spans="1:13" ht="14" x14ac:dyDescent="0.3">
      <c r="A14" s="38" t="s">
        <v>52</v>
      </c>
      <c r="B14" s="71">
        <f t="shared" si="12"/>
        <v>1880.3579999999999</v>
      </c>
      <c r="C14" s="56">
        <v>2110.9360000000001</v>
      </c>
      <c r="D14" s="71">
        <f>(1.517194+0.111025+14.403726+0)*2.204622</f>
        <v>35.344378649790002</v>
      </c>
      <c r="E14" s="56">
        <f t="shared" si="8"/>
        <v>4026.63837864979</v>
      </c>
      <c r="F14" s="71"/>
      <c r="G14" s="71">
        <f t="shared" si="9"/>
        <v>1708.3152730009342</v>
      </c>
      <c r="H14" s="56">
        <v>541.04999999999995</v>
      </c>
      <c r="I14" s="56">
        <f t="shared" si="10"/>
        <v>1167.2652730009343</v>
      </c>
      <c r="J14" s="56">
        <f>(63.337525+0.026618+20.04504+0.169365)*2.204622</f>
        <v>184.25910564885601</v>
      </c>
      <c r="K14" s="56">
        <f t="shared" si="11"/>
        <v>1892.5743786497901</v>
      </c>
      <c r="L14" s="71">
        <f>1749.423+384.641</f>
        <v>2134.0639999999999</v>
      </c>
      <c r="M14" s="148"/>
    </row>
    <row r="15" spans="1:13" ht="14" x14ac:dyDescent="0.3">
      <c r="A15" s="38" t="s">
        <v>53</v>
      </c>
      <c r="B15" s="71">
        <f t="shared" si="12"/>
        <v>2134.0639999999999</v>
      </c>
      <c r="C15" s="56">
        <v>2154.4270000000001</v>
      </c>
      <c r="D15" s="71">
        <f>(2.126531+0.443575+12.214776+0)*2.204622</f>
        <v>32.595076124603999</v>
      </c>
      <c r="E15" s="56">
        <f t="shared" si="8"/>
        <v>4321.086076124604</v>
      </c>
      <c r="F15" s="71"/>
      <c r="G15" s="71">
        <f t="shared" si="9"/>
        <v>1844.199548509308</v>
      </c>
      <c r="H15" s="56">
        <v>521</v>
      </c>
      <c r="I15" s="56">
        <f t="shared" si="10"/>
        <v>1323.199548509308</v>
      </c>
      <c r="J15" s="56">
        <f>(44.792336+0.117811+11.595679+0.239742)*2.204622</f>
        <v>125.102527615296</v>
      </c>
      <c r="K15" s="56">
        <f t="shared" si="11"/>
        <v>1969.3020761246039</v>
      </c>
      <c r="L15" s="71">
        <f>1989.164+362.62</f>
        <v>2351.7840000000001</v>
      </c>
      <c r="M15" s="148"/>
    </row>
    <row r="16" spans="1:13" ht="14" x14ac:dyDescent="0.3">
      <c r="A16" s="38" t="s">
        <v>54</v>
      </c>
      <c r="B16" s="71">
        <f t="shared" si="12"/>
        <v>2351.7840000000001</v>
      </c>
      <c r="C16" s="56">
        <v>1999.5239999999999</v>
      </c>
      <c r="D16" s="71">
        <f>(2.359956+0.08919+10.275538+0)*2.204622</f>
        <v>28.053118289448001</v>
      </c>
      <c r="E16" s="56">
        <f t="shared" si="8"/>
        <v>4379.3611182894483</v>
      </c>
      <c r="F16" s="71"/>
      <c r="G16" s="71">
        <f t="shared" si="9"/>
        <v>1605.6683977361104</v>
      </c>
      <c r="H16" s="56">
        <v>574.78</v>
      </c>
      <c r="I16" s="56">
        <f t="shared" si="10"/>
        <v>1030.8883977361104</v>
      </c>
      <c r="J16" s="56">
        <f>(163.046872+0.108209+16.27962+0.298478)*2.204622</f>
        <v>396.24372055333799</v>
      </c>
      <c r="K16" s="56">
        <f t="shared" si="11"/>
        <v>2001.9121182894482</v>
      </c>
      <c r="L16" s="71">
        <f>1996.747+380.702</f>
        <v>2377.4490000000001</v>
      </c>
      <c r="M16" s="148"/>
    </row>
    <row r="17" spans="1:13" ht="14" x14ac:dyDescent="0.3">
      <c r="A17" s="38" t="s">
        <v>55</v>
      </c>
      <c r="B17" s="71">
        <f t="shared" si="12"/>
        <v>2377.4490000000001</v>
      </c>
      <c r="C17" s="56">
        <v>2201.0680000000002</v>
      </c>
      <c r="D17" s="71">
        <f>(1.501862+0.001651+9.293142+0)*2.204622</f>
        <v>23.802543139409998</v>
      </c>
      <c r="E17" s="56">
        <f t="shared" si="8"/>
        <v>4602.3195431394097</v>
      </c>
      <c r="F17" s="71"/>
      <c r="G17" s="71">
        <f t="shared" si="9"/>
        <v>1953.9599288879958</v>
      </c>
      <c r="H17" s="56">
        <v>656.02</v>
      </c>
      <c r="I17" s="56">
        <f t="shared" si="10"/>
        <v>1297.9399288879958</v>
      </c>
      <c r="J17" s="56">
        <f>(130.361496+0.283982+14.394011+0.458748)*2.204622</f>
        <v>320.76861425141408</v>
      </c>
      <c r="K17" s="56">
        <f t="shared" si="11"/>
        <v>2274.7285431394098</v>
      </c>
      <c r="L17" s="71">
        <f>1933.648+393.943</f>
        <v>2327.5909999999999</v>
      </c>
      <c r="M17" s="148"/>
    </row>
    <row r="18" spans="1:13" ht="14" x14ac:dyDescent="0.3">
      <c r="A18" s="38" t="s">
        <v>56</v>
      </c>
      <c r="B18" s="71">
        <f t="shared" si="12"/>
        <v>2327.5909999999999</v>
      </c>
      <c r="C18" s="56">
        <v>2099.4650000000001</v>
      </c>
      <c r="D18" s="71">
        <f>(5.945476+0+5.110422+0)*2.204622</f>
        <v>24.374075960555999</v>
      </c>
      <c r="E18" s="56">
        <f t="shared" si="8"/>
        <v>4451.4300759605567</v>
      </c>
      <c r="F18" s="71"/>
      <c r="G18" s="71">
        <f t="shared" si="9"/>
        <v>1619.2606368912866</v>
      </c>
      <c r="H18" s="56">
        <v>671.81</v>
      </c>
      <c r="I18" s="56">
        <f t="shared" si="10"/>
        <v>947.45063689128665</v>
      </c>
      <c r="J18" s="56">
        <f>(87.695281+3.66505+12.806232+0.249722)*2.204622</f>
        <v>230.19843906926999</v>
      </c>
      <c r="K18" s="56">
        <f t="shared" si="11"/>
        <v>1849.4590759605567</v>
      </c>
      <c r="L18" s="71">
        <f>2224.007+377.964</f>
        <v>2601.971</v>
      </c>
      <c r="M18" s="148"/>
    </row>
    <row r="19" spans="1:13" ht="14" x14ac:dyDescent="0.3">
      <c r="A19" s="38" t="s">
        <v>57</v>
      </c>
      <c r="B19" s="71">
        <f t="shared" si="12"/>
        <v>2601.971</v>
      </c>
      <c r="C19" s="56">
        <v>2057.6170000000002</v>
      </c>
      <c r="D19" s="71">
        <f>(3.133764+0+7.887634+0)*2.204622</f>
        <v>24.298016501556003</v>
      </c>
      <c r="E19" s="56">
        <f t="shared" si="8"/>
        <v>4683.8860165015558</v>
      </c>
      <c r="F19" s="71"/>
      <c r="G19" s="71">
        <f t="shared" si="9"/>
        <v>1878.8671831303036</v>
      </c>
      <c r="H19" s="56">
        <v>805.35</v>
      </c>
      <c r="I19" s="56">
        <f t="shared" si="10"/>
        <v>1073.5171831303037</v>
      </c>
      <c r="J19" s="56">
        <f>(146.2828+1.013597+14.669532+0.316237)*2.204622</f>
        <v>357.77083337125202</v>
      </c>
      <c r="K19" s="56">
        <f t="shared" si="11"/>
        <v>2236.6380165015557</v>
      </c>
      <c r="L19" s="71">
        <f>2048.992+398.256</f>
        <v>2447.248</v>
      </c>
      <c r="M19" s="71"/>
    </row>
    <row r="20" spans="1:13" ht="14" x14ac:dyDescent="0.3">
      <c r="A20" s="38" t="s">
        <v>58</v>
      </c>
      <c r="B20" s="71">
        <f t="shared" si="12"/>
        <v>2447.248</v>
      </c>
      <c r="C20" s="56">
        <v>2035.269</v>
      </c>
      <c r="D20" s="71">
        <f>(2.511371+0+8.915069+0)*2.204622</f>
        <v>25.190981005680005</v>
      </c>
      <c r="E20" s="56">
        <f t="shared" ref="E20" si="13">SUM(B20:D20)</f>
        <v>4507.7079810056803</v>
      </c>
      <c r="F20" s="71"/>
      <c r="G20" s="71">
        <f t="shared" si="9"/>
        <v>2069.3751779943923</v>
      </c>
      <c r="H20" s="56">
        <v>747.07</v>
      </c>
      <c r="I20" s="56">
        <f t="shared" si="10"/>
        <v>1322.3051779943921</v>
      </c>
      <c r="J20" s="56">
        <f>(64.082208+0.046033+11.538218+0.385945)*2.204622</f>
        <v>167.66680301128801</v>
      </c>
      <c r="K20" s="56">
        <f t="shared" si="11"/>
        <v>2237.0419810056801</v>
      </c>
      <c r="L20" s="71">
        <f>1925.583+345.083</f>
        <v>2270.6660000000002</v>
      </c>
      <c r="M20" s="148"/>
    </row>
    <row r="21" spans="1:13" ht="14" x14ac:dyDescent="0.3">
      <c r="A21" s="38" t="s">
        <v>60</v>
      </c>
      <c r="B21" s="71">
        <f t="shared" si="12"/>
        <v>2270.6660000000002</v>
      </c>
      <c r="C21" s="56">
        <v>2123.2370000000001</v>
      </c>
      <c r="D21" s="71">
        <f>(1.437321+0+11.120338+0)*2.204622</f>
        <v>27.684891299898002</v>
      </c>
      <c r="E21" s="56">
        <f t="shared" ref="E21:E22" si="14">SUM(B21:D21)</f>
        <v>4421.5878912998978</v>
      </c>
      <c r="F21" s="71"/>
      <c r="G21" s="71">
        <f t="shared" si="9"/>
        <v>2133.8783126502199</v>
      </c>
      <c r="H21" s="56">
        <v>774.83</v>
      </c>
      <c r="I21" s="56">
        <f t="shared" si="10"/>
        <v>1359.0483126502199</v>
      </c>
      <c r="J21" s="56">
        <f>(64.323622+0.065902+10.076311+0.209814)*2.204622</f>
        <v>164.63157864967798</v>
      </c>
      <c r="K21" s="56">
        <f t="shared" si="11"/>
        <v>2298.5098912998978</v>
      </c>
      <c r="L21" s="71">
        <f>1776.314+346.764</f>
        <v>2123.078</v>
      </c>
      <c r="M21" s="148"/>
    </row>
    <row r="22" spans="1:13" ht="14" x14ac:dyDescent="0.3">
      <c r="A22" s="38" t="s">
        <v>61</v>
      </c>
      <c r="B22" s="71">
        <f t="shared" si="12"/>
        <v>2123.078</v>
      </c>
      <c r="C22" s="56">
        <v>2012.8230000000001</v>
      </c>
      <c r="D22" s="71">
        <f>(0.780729+0.049783+9.307564+0)*2.204622</f>
        <v>22.350625387272</v>
      </c>
      <c r="E22" s="56">
        <f t="shared" si="14"/>
        <v>4158.2516253872718</v>
      </c>
      <c r="F22" s="71"/>
      <c r="G22" s="71">
        <f t="shared" si="9"/>
        <v>2014.6131086572618</v>
      </c>
      <c r="H22" s="56">
        <v>745.33</v>
      </c>
      <c r="I22" s="56">
        <f t="shared" si="10"/>
        <v>1269.2831086572619</v>
      </c>
      <c r="J22" s="56">
        <f>(76.647872+0.035441+14.584342+0.2113)*2.204622</f>
        <v>201.67651673001004</v>
      </c>
      <c r="K22" s="56">
        <f t="shared" si="11"/>
        <v>2216.2896253872718</v>
      </c>
      <c r="L22" s="71">
        <f>1572.483+369.479</f>
        <v>1941.962</v>
      </c>
      <c r="M22" s="148"/>
    </row>
    <row r="23" spans="1:13" ht="14" x14ac:dyDescent="0.3">
      <c r="A23" s="38" t="s">
        <v>63</v>
      </c>
      <c r="B23" s="71">
        <f t="shared" si="12"/>
        <v>1941.962</v>
      </c>
      <c r="C23" s="56">
        <v>1967.6210000000001</v>
      </c>
      <c r="D23" s="71">
        <f>(1.370358+0+8.036812+0)*2.204622</f>
        <v>20.739253939739999</v>
      </c>
      <c r="E23" s="56">
        <f t="shared" ref="E23" si="15">SUM(B23:D23)</f>
        <v>3930.3222539397402</v>
      </c>
      <c r="F23" s="71"/>
      <c r="G23" s="71">
        <f t="shared" si="9"/>
        <v>1901.7003578646145</v>
      </c>
      <c r="H23" s="56">
        <v>736.53</v>
      </c>
      <c r="I23" s="56">
        <f t="shared" si="10"/>
        <v>1165.1703578646145</v>
      </c>
      <c r="J23" s="56">
        <f>(68.72055+0.115908+12.442878+0.408997)*2.204622</f>
        <v>180.09189607512602</v>
      </c>
      <c r="K23" s="56">
        <f t="shared" si="11"/>
        <v>2081.7922539397405</v>
      </c>
      <c r="L23" s="71">
        <f>1503.344+345.186</f>
        <v>1848.53</v>
      </c>
      <c r="M23" s="148"/>
    </row>
    <row r="24" spans="1:13" ht="14" x14ac:dyDescent="0.3">
      <c r="A24" s="38" t="s">
        <v>3</v>
      </c>
      <c r="B24" s="71"/>
      <c r="C24" s="56">
        <f>SUM(C12:C23)</f>
        <v>24911.604000000003</v>
      </c>
      <c r="D24" s="71">
        <f>SUM(D12:D23)</f>
        <v>319.33808794654203</v>
      </c>
      <c r="E24" s="56">
        <f>B12+C24+D24</f>
        <v>27006.258087946542</v>
      </c>
      <c r="F24" s="71"/>
      <c r="G24" s="71">
        <f t="shared" ref="G24:K24" si="16">SUM(G12:G23)</f>
        <v>22329.421436452205</v>
      </c>
      <c r="H24" s="56">
        <f t="shared" si="16"/>
        <v>7857.82</v>
      </c>
      <c r="I24" s="56">
        <f t="shared" si="16"/>
        <v>14471.601436452205</v>
      </c>
      <c r="J24" s="56">
        <f t="shared" si="16"/>
        <v>2828.306651494338</v>
      </c>
      <c r="K24" s="56">
        <f t="shared" si="16"/>
        <v>25157.728087946543</v>
      </c>
      <c r="L24" s="71"/>
      <c r="M24" s="148"/>
    </row>
    <row r="25" spans="1:13" ht="14" x14ac:dyDescent="0.3">
      <c r="A25" s="38"/>
      <c r="B25" s="144"/>
      <c r="C25" s="56"/>
      <c r="D25" s="56"/>
      <c r="E25" s="56"/>
      <c r="F25" s="71"/>
      <c r="G25" s="56"/>
      <c r="H25" s="56"/>
      <c r="I25" s="56"/>
      <c r="J25" s="56"/>
      <c r="K25" s="56"/>
      <c r="L25" s="71"/>
    </row>
    <row r="26" spans="1:13" ht="14" x14ac:dyDescent="0.3">
      <c r="A26" s="35" t="s">
        <v>169</v>
      </c>
      <c r="B26" s="144"/>
      <c r="C26" s="56"/>
      <c r="D26" s="56"/>
      <c r="E26" s="56"/>
      <c r="F26" s="71"/>
      <c r="G26" s="56"/>
      <c r="H26" s="56"/>
      <c r="I26" s="56"/>
      <c r="J26" s="56"/>
      <c r="K26" s="56"/>
      <c r="L26" s="71"/>
    </row>
    <row r="27" spans="1:13" ht="14" x14ac:dyDescent="0.3">
      <c r="A27" s="34" t="s">
        <v>50</v>
      </c>
      <c r="B27" s="77">
        <f>L23</f>
        <v>1848.53</v>
      </c>
      <c r="C27" s="62">
        <v>2282.471</v>
      </c>
      <c r="D27" s="77">
        <f>(1.015586+0.000563+8.263561+0)*2.204622</f>
        <v>20.45825281962</v>
      </c>
      <c r="E27" s="62">
        <f t="shared" ref="E27" si="17">SUM(B27:D27)</f>
        <v>4151.4592528196199</v>
      </c>
      <c r="F27" s="77"/>
      <c r="G27" s="77">
        <f t="shared" ref="G27" si="18">K27-J27</f>
        <v>2003.5441440301299</v>
      </c>
      <c r="H27" s="77" t="s">
        <v>10</v>
      </c>
      <c r="I27" s="77" t="s">
        <v>10</v>
      </c>
      <c r="J27" s="62">
        <f>(63.536922+0.093835+19.218456+0.634082)*2.204622</f>
        <v>184.04910878948999</v>
      </c>
      <c r="K27" s="77">
        <f t="shared" ref="K27" si="19">E27-L27</f>
        <v>2187.5932528196199</v>
      </c>
      <c r="L27" s="77">
        <f>1564.319+399.547</f>
        <v>1963.866</v>
      </c>
    </row>
    <row r="28" spans="1:13" ht="16.5" x14ac:dyDescent="0.3">
      <c r="A28" s="75" t="s">
        <v>156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3" ht="14.5" x14ac:dyDescent="0.35">
      <c r="A29" s="35" t="s">
        <v>112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3" ht="14" x14ac:dyDescent="0.3">
      <c r="A30" s="39" t="s">
        <v>20</v>
      </c>
      <c r="B30" s="67">
        <f ca="1">NOW()</f>
        <v>44176.610964814812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2.632812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64" t="s">
        <v>0</v>
      </c>
      <c r="C2" s="164"/>
      <c r="D2" s="164"/>
      <c r="E2" s="164"/>
      <c r="F2" s="78"/>
      <c r="G2" s="164" t="s">
        <v>19</v>
      </c>
      <c r="H2" s="164"/>
      <c r="I2" s="164"/>
      <c r="J2" s="164"/>
      <c r="K2" s="78"/>
      <c r="L2" s="35"/>
      <c r="M2" s="35"/>
      <c r="N2" s="35"/>
      <c r="O2" s="35"/>
    </row>
    <row r="3" spans="1:15" ht="14" x14ac:dyDescent="0.3">
      <c r="A3" s="35" t="s">
        <v>75</v>
      </c>
      <c r="B3" s="39" t="s">
        <v>30</v>
      </c>
      <c r="C3" s="39"/>
      <c r="D3" s="39"/>
      <c r="E3" s="39"/>
      <c r="F3" s="79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77</v>
      </c>
      <c r="B4" s="42" t="s">
        <v>47</v>
      </c>
      <c r="C4" s="80" t="s">
        <v>1</v>
      </c>
      <c r="D4" s="44" t="s">
        <v>31</v>
      </c>
      <c r="E4" s="42" t="s">
        <v>85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65" t="s">
        <v>14</v>
      </c>
      <c r="C5" s="165"/>
      <c r="D5" s="165"/>
      <c r="E5" s="165"/>
      <c r="F5" s="165"/>
      <c r="G5" s="165"/>
      <c r="H5" s="165"/>
      <c r="I5" s="165"/>
      <c r="J5" s="165"/>
      <c r="K5" s="165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6"/>
      <c r="H6" s="81"/>
      <c r="I6" s="76"/>
      <c r="J6" s="76"/>
      <c r="K6" s="35"/>
      <c r="L6" s="35"/>
      <c r="M6" s="35"/>
      <c r="N6" s="35"/>
      <c r="O6" s="35"/>
    </row>
    <row r="7" spans="1:15" ht="16.5" x14ac:dyDescent="0.3">
      <c r="A7" s="35" t="s">
        <v>141</v>
      </c>
      <c r="B7" s="82">
        <v>451</v>
      </c>
      <c r="C7" s="82">
        <v>5631</v>
      </c>
      <c r="D7" s="83">
        <v>0.50413091273999999</v>
      </c>
      <c r="E7" s="82">
        <f>B7+C7+D7</f>
        <v>6082.50413091274</v>
      </c>
      <c r="F7" s="50"/>
      <c r="G7" s="82">
        <v>1760.4089999999999</v>
      </c>
      <c r="H7" s="84">
        <v>387.03680000000003</v>
      </c>
      <c r="I7" s="82">
        <f t="shared" ref="I7:I8" si="0">J7-G7-H7</f>
        <v>3458.0583309127405</v>
      </c>
      <c r="J7" s="82">
        <f t="shared" ref="J7:J8" si="1">E7-K7</f>
        <v>5605.50413091274</v>
      </c>
      <c r="K7" s="82">
        <v>477</v>
      </c>
      <c r="L7" s="35"/>
      <c r="M7" s="35"/>
      <c r="N7" s="35"/>
      <c r="O7" s="35"/>
    </row>
    <row r="8" spans="1:15" ht="16.5" x14ac:dyDescent="0.3">
      <c r="A8" s="35" t="s">
        <v>145</v>
      </c>
      <c r="B8" s="82">
        <f>K7</f>
        <v>477</v>
      </c>
      <c r="C8" s="82">
        <v>5945</v>
      </c>
      <c r="D8" s="83">
        <v>1.0880000000000001</v>
      </c>
      <c r="E8" s="82">
        <f>B8+C8+D8</f>
        <v>6423.0879999999997</v>
      </c>
      <c r="F8" s="50"/>
      <c r="G8" s="82">
        <v>1712.0099999999998</v>
      </c>
      <c r="H8" s="84">
        <v>340.67500000000001</v>
      </c>
      <c r="I8" s="82">
        <f t="shared" si="0"/>
        <v>3914.4029999999993</v>
      </c>
      <c r="J8" s="82">
        <f t="shared" si="1"/>
        <v>5967.0879999999997</v>
      </c>
      <c r="K8" s="82">
        <v>456</v>
      </c>
      <c r="L8" s="35"/>
      <c r="M8" s="35"/>
      <c r="N8" s="35"/>
      <c r="O8" s="35"/>
    </row>
    <row r="9" spans="1:15" ht="16.5" x14ac:dyDescent="0.3">
      <c r="A9" s="34" t="s">
        <v>157</v>
      </c>
      <c r="B9" s="85">
        <f>K8</f>
        <v>456</v>
      </c>
      <c r="C9" s="85">
        <v>4887</v>
      </c>
      <c r="D9" s="86">
        <v>2</v>
      </c>
      <c r="E9" s="85">
        <f>B9+C9+D9</f>
        <v>5345</v>
      </c>
      <c r="F9" s="87"/>
      <c r="G9" s="85">
        <v>1650</v>
      </c>
      <c r="H9" s="88">
        <v>325</v>
      </c>
      <c r="I9" s="85">
        <f t="shared" ref="I9" si="2">J9-G9-H9</f>
        <v>3032</v>
      </c>
      <c r="J9" s="85">
        <f t="shared" ref="J9" si="3">E9-K9</f>
        <v>5007</v>
      </c>
      <c r="K9" s="85">
        <v>338</v>
      </c>
      <c r="L9" s="35"/>
      <c r="M9" s="35"/>
      <c r="N9" s="35"/>
      <c r="O9" s="35"/>
    </row>
    <row r="10" spans="1:15" ht="16.5" x14ac:dyDescent="0.3">
      <c r="A10" s="75" t="s">
        <v>113</v>
      </c>
      <c r="B10" s="35"/>
      <c r="C10" s="50"/>
      <c r="D10" s="50"/>
      <c r="E10" s="50"/>
      <c r="F10" s="50"/>
      <c r="G10" s="152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114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165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151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64" t="s">
        <v>0</v>
      </c>
      <c r="C16" s="164"/>
      <c r="D16" s="164"/>
      <c r="E16" s="164"/>
      <c r="F16" s="35"/>
      <c r="G16" s="164" t="s">
        <v>19</v>
      </c>
      <c r="H16" s="164"/>
      <c r="I16" s="164"/>
      <c r="J16" s="35"/>
      <c r="K16" s="35"/>
      <c r="L16" s="35"/>
      <c r="M16" s="35"/>
      <c r="N16" s="35"/>
      <c r="O16" s="35"/>
    </row>
    <row r="17" spans="1:15" ht="14" x14ac:dyDescent="0.3">
      <c r="A17" s="35" t="s">
        <v>75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76</v>
      </c>
      <c r="B18" s="42" t="s">
        <v>27</v>
      </c>
      <c r="C18" s="80" t="s">
        <v>1</v>
      </c>
      <c r="D18" s="44" t="s">
        <v>31</v>
      </c>
      <c r="E18" s="42" t="s">
        <v>32</v>
      </c>
      <c r="F18" s="43"/>
      <c r="G18" s="89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65" t="s">
        <v>15</v>
      </c>
      <c r="C19" s="165"/>
      <c r="D19" s="165"/>
      <c r="E19" s="165"/>
      <c r="F19" s="165"/>
      <c r="G19" s="165"/>
      <c r="H19" s="165"/>
      <c r="I19" s="165"/>
      <c r="J19" s="165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141</v>
      </c>
      <c r="B21" s="82">
        <v>45</v>
      </c>
      <c r="C21" s="84">
        <v>747.56499999999983</v>
      </c>
      <c r="D21" s="83">
        <v>0</v>
      </c>
      <c r="E21" s="84">
        <f t="shared" ref="E21:E22" si="4">B21+C21+D21</f>
        <v>792.56499999999983</v>
      </c>
      <c r="F21" s="35"/>
      <c r="G21" s="84">
        <f>I21-H21</f>
        <v>635.74599999999987</v>
      </c>
      <c r="H21" s="84">
        <v>113.819</v>
      </c>
      <c r="I21" s="84">
        <f t="shared" ref="I21:I22" si="5">E21-J21</f>
        <v>749.56499999999983</v>
      </c>
      <c r="J21" s="82">
        <v>43</v>
      </c>
      <c r="K21" s="35"/>
      <c r="L21" s="35"/>
      <c r="M21" s="35"/>
      <c r="N21" s="35"/>
      <c r="O21" s="35"/>
    </row>
    <row r="22" spans="1:15" ht="16.5" x14ac:dyDescent="0.3">
      <c r="A22" s="35" t="s">
        <v>145</v>
      </c>
      <c r="B22" s="82">
        <f>J21</f>
        <v>43</v>
      </c>
      <c r="C22" s="84">
        <v>779.976</v>
      </c>
      <c r="D22" s="83">
        <v>0</v>
      </c>
      <c r="E22" s="84">
        <f t="shared" si="4"/>
        <v>822.976</v>
      </c>
      <c r="F22" s="35"/>
      <c r="G22" s="84">
        <f>I22-H22</f>
        <v>688.53899999999999</v>
      </c>
      <c r="H22" s="84">
        <v>109.565</v>
      </c>
      <c r="I22" s="84">
        <f t="shared" si="5"/>
        <v>798.10400000000004</v>
      </c>
      <c r="J22" s="82">
        <v>24.872</v>
      </c>
      <c r="K22" s="35"/>
      <c r="L22" s="35"/>
      <c r="M22" s="35"/>
      <c r="N22" s="35"/>
      <c r="O22" s="35"/>
    </row>
    <row r="23" spans="1:15" ht="16.5" x14ac:dyDescent="0.3">
      <c r="A23" s="34" t="s">
        <v>157</v>
      </c>
      <c r="B23" s="85">
        <f>J22</f>
        <v>24.872</v>
      </c>
      <c r="C23" s="88">
        <v>745</v>
      </c>
      <c r="D23" s="86">
        <v>0</v>
      </c>
      <c r="E23" s="88">
        <f t="shared" ref="E23" si="6">B23+C23+D23</f>
        <v>769.87199999999996</v>
      </c>
      <c r="F23" s="87"/>
      <c r="G23" s="88">
        <f>I23-H23</f>
        <v>624.87199999999996</v>
      </c>
      <c r="H23" s="88">
        <v>100</v>
      </c>
      <c r="I23" s="88">
        <f t="shared" ref="I23" si="7">E23-J23</f>
        <v>724.87199999999996</v>
      </c>
      <c r="J23" s="85">
        <v>45</v>
      </c>
      <c r="K23" s="35"/>
      <c r="L23" s="35"/>
      <c r="M23" s="35"/>
      <c r="N23" s="35"/>
      <c r="O23" s="35"/>
    </row>
    <row r="24" spans="1:15" ht="16.5" x14ac:dyDescent="0.3">
      <c r="A24" s="75" t="s">
        <v>113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160</v>
      </c>
      <c r="B25" s="90"/>
      <c r="C25" s="90"/>
      <c r="D25" s="90"/>
      <c r="E25" s="90"/>
      <c r="F25" s="90"/>
      <c r="G25" s="90"/>
      <c r="H25" s="90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152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64" t="s">
        <v>0</v>
      </c>
      <c r="C29" s="164"/>
      <c r="D29" s="164"/>
      <c r="E29" s="164"/>
      <c r="F29" s="35"/>
      <c r="G29" s="164" t="s">
        <v>19</v>
      </c>
      <c r="H29" s="164"/>
      <c r="I29" s="164"/>
      <c r="J29" s="35"/>
      <c r="K29" s="35"/>
      <c r="L29" s="35"/>
      <c r="M29" s="35"/>
      <c r="N29" s="35"/>
      <c r="O29" s="35"/>
    </row>
    <row r="30" spans="1:15" ht="14" x14ac:dyDescent="0.3">
      <c r="A30" s="35" t="s">
        <v>75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76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86</v>
      </c>
      <c r="K31" s="35"/>
      <c r="L31" s="35"/>
      <c r="M31" s="35"/>
      <c r="N31" s="35"/>
      <c r="O31" s="35"/>
    </row>
    <row r="32" spans="1:15" ht="14.5" x14ac:dyDescent="0.35">
      <c r="A32" s="35"/>
      <c r="B32" s="165" t="s">
        <v>16</v>
      </c>
      <c r="C32" s="165"/>
      <c r="D32" s="165"/>
      <c r="E32" s="165"/>
      <c r="F32" s="165"/>
      <c r="G32" s="165"/>
      <c r="H32" s="165"/>
      <c r="I32" s="165"/>
      <c r="J32" s="165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141</v>
      </c>
      <c r="B34" s="83">
        <v>32</v>
      </c>
      <c r="C34" s="84">
        <v>455.77300000000002</v>
      </c>
      <c r="D34" s="83">
        <v>4.2840000000000003E-2</v>
      </c>
      <c r="E34" s="91">
        <f t="shared" ref="E34:E35" si="8">B34+C34+D34</f>
        <v>487.81584000000004</v>
      </c>
      <c r="F34" s="35"/>
      <c r="G34" s="84">
        <f t="shared" ref="G34:G35" si="9">I34-H34</f>
        <v>369.63574000000006</v>
      </c>
      <c r="H34" s="84">
        <v>83.139099999999999</v>
      </c>
      <c r="I34" s="84">
        <f t="shared" ref="I34:I35" si="10">E34-J34</f>
        <v>452.77484000000004</v>
      </c>
      <c r="J34" s="92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145</v>
      </c>
      <c r="B35" s="83">
        <f>J34</f>
        <v>35.040999999999997</v>
      </c>
      <c r="C35" s="84">
        <v>481.34800000000001</v>
      </c>
      <c r="D35" s="83">
        <v>0.26666000000000001</v>
      </c>
      <c r="E35" s="91">
        <f t="shared" si="8"/>
        <v>516.65566000000001</v>
      </c>
      <c r="F35" s="35"/>
      <c r="G35" s="84">
        <f t="shared" si="9"/>
        <v>388.20186000000001</v>
      </c>
      <c r="H35" s="84">
        <v>83.915800000000004</v>
      </c>
      <c r="I35" s="84">
        <f t="shared" si="10"/>
        <v>472.11766</v>
      </c>
      <c r="J35" s="92">
        <f>28.538+16</f>
        <v>44.537999999999997</v>
      </c>
      <c r="K35" s="35"/>
      <c r="L35" s="35"/>
      <c r="M35" s="35"/>
      <c r="N35" s="35"/>
      <c r="O35" s="35"/>
    </row>
    <row r="36" spans="1:15" ht="16.5" x14ac:dyDescent="0.3">
      <c r="A36" s="34" t="s">
        <v>157</v>
      </c>
      <c r="B36" s="86">
        <f>J35</f>
        <v>44.537999999999997</v>
      </c>
      <c r="C36" s="88">
        <v>460</v>
      </c>
      <c r="D36" s="86">
        <v>0</v>
      </c>
      <c r="E36" s="93">
        <f t="shared" ref="E36" si="11">B36+C36+D36</f>
        <v>504.53800000000001</v>
      </c>
      <c r="F36" s="87"/>
      <c r="G36" s="88">
        <f t="shared" ref="G36" si="12">I36-H36</f>
        <v>374.53800000000001</v>
      </c>
      <c r="H36" s="88">
        <v>85</v>
      </c>
      <c r="I36" s="88">
        <f t="shared" ref="I36" si="13">E36-J36</f>
        <v>459.53800000000001</v>
      </c>
      <c r="J36" s="88">
        <v>45</v>
      </c>
      <c r="K36" s="35"/>
      <c r="L36" s="35"/>
      <c r="M36" s="35"/>
      <c r="N36" s="35"/>
      <c r="O36" s="35"/>
    </row>
    <row r="37" spans="1:15" ht="16.5" x14ac:dyDescent="0.3">
      <c r="A37" s="75" t="s">
        <v>113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160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153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64" t="s">
        <v>21</v>
      </c>
      <c r="C42" s="164"/>
      <c r="D42" s="37" t="s">
        <v>24</v>
      </c>
      <c r="E42" s="164" t="s">
        <v>82</v>
      </c>
      <c r="F42" s="164"/>
      <c r="G42" s="164"/>
      <c r="H42" s="164"/>
      <c r="I42" s="35"/>
      <c r="J42" s="164" t="s">
        <v>19</v>
      </c>
      <c r="K42" s="164"/>
      <c r="L42" s="164"/>
      <c r="M42" s="164"/>
      <c r="N42" s="164"/>
      <c r="O42" s="35"/>
    </row>
    <row r="43" spans="1:15" ht="14" x14ac:dyDescent="0.3">
      <c r="A43" s="35" t="s">
        <v>75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49" t="s">
        <v>9</v>
      </c>
      <c r="K43" s="37"/>
      <c r="L43" s="37" t="s">
        <v>89</v>
      </c>
      <c r="M43" s="37"/>
      <c r="N43" s="37"/>
      <c r="O43" s="37" t="s">
        <v>28</v>
      </c>
    </row>
    <row r="44" spans="1:15" ht="14" x14ac:dyDescent="0.3">
      <c r="A44" s="40" t="s">
        <v>77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86</v>
      </c>
    </row>
    <row r="45" spans="1:15" ht="14.5" x14ac:dyDescent="0.35">
      <c r="A45" s="35"/>
      <c r="B45" s="166" t="s">
        <v>84</v>
      </c>
      <c r="C45" s="165"/>
      <c r="D45" s="94" t="s">
        <v>70</v>
      </c>
      <c r="E45" s="165" t="s">
        <v>17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141</v>
      </c>
      <c r="B47" s="82">
        <v>1425.5</v>
      </c>
      <c r="C47" s="82">
        <v>1373.5</v>
      </c>
      <c r="D47" s="82">
        <f>F47*1000/C47</f>
        <v>4001.4088096104842</v>
      </c>
      <c r="E47" s="82">
        <v>2717.08</v>
      </c>
      <c r="F47" s="82">
        <v>5495.9350000000004</v>
      </c>
      <c r="G47" s="92">
        <v>117.1242623755961</v>
      </c>
      <c r="H47" s="82">
        <f t="shared" ref="H47:H48" si="14">SUM(E47:G47)</f>
        <v>8330.1392623755946</v>
      </c>
      <c r="I47" s="82"/>
      <c r="J47" s="82">
        <v>3099</v>
      </c>
      <c r="K47" s="82">
        <f>1.333*486.398</f>
        <v>648.36853400000007</v>
      </c>
      <c r="L47" s="84">
        <f>N47-J47-K47-M47</f>
        <v>962.05385708653807</v>
      </c>
      <c r="M47" s="84">
        <v>1199.6268712890562</v>
      </c>
      <c r="N47" s="82">
        <f t="shared" ref="N47:N48" si="15">H47-O47</f>
        <v>5909.0492623755945</v>
      </c>
      <c r="O47" s="82">
        <v>2421.09</v>
      </c>
    </row>
    <row r="48" spans="1:15" ht="16.5" x14ac:dyDescent="0.3">
      <c r="A48" s="35" t="s">
        <v>145</v>
      </c>
      <c r="B48" s="82">
        <v>1432.7</v>
      </c>
      <c r="C48" s="82">
        <v>1389.7</v>
      </c>
      <c r="D48" s="82">
        <f>F48*1000/C48</f>
        <v>3933.5734331150607</v>
      </c>
      <c r="E48" s="82">
        <f>O47</f>
        <v>2421.09</v>
      </c>
      <c r="F48" s="82">
        <v>5466.4870000000001</v>
      </c>
      <c r="G48" s="92">
        <v>113.761</v>
      </c>
      <c r="H48" s="82">
        <f t="shared" si="14"/>
        <v>8001.3380000000006</v>
      </c>
      <c r="I48" s="82"/>
      <c r="J48" s="82">
        <v>3212</v>
      </c>
      <c r="K48" s="82">
        <f>1.333*580.628</f>
        <v>773.977124</v>
      </c>
      <c r="L48" s="84">
        <f>N48-J48-K48-M48</f>
        <v>289.63884758693712</v>
      </c>
      <c r="M48" s="84">
        <v>1607.5340284130634</v>
      </c>
      <c r="N48" s="82">
        <f t="shared" si="15"/>
        <v>5883.1500000000005</v>
      </c>
      <c r="O48" s="82">
        <f>2118.188</f>
        <v>2118.1880000000001</v>
      </c>
    </row>
    <row r="49" spans="1:15" ht="16.5" x14ac:dyDescent="0.3">
      <c r="A49" s="34" t="s">
        <v>157</v>
      </c>
      <c r="B49" s="85">
        <v>1665.2</v>
      </c>
      <c r="C49" s="85">
        <v>1623.2</v>
      </c>
      <c r="D49" s="85">
        <f>F49*1000/C49</f>
        <v>4092.7304090685066</v>
      </c>
      <c r="E49" s="85">
        <f>O48</f>
        <v>2118.1880000000001</v>
      </c>
      <c r="F49" s="85">
        <v>6643.32</v>
      </c>
      <c r="G49" s="88">
        <v>115</v>
      </c>
      <c r="H49" s="85">
        <f t="shared" ref="H49" si="16">SUM(E49:G49)</f>
        <v>8876.5079999999998</v>
      </c>
      <c r="I49" s="85"/>
      <c r="J49" s="85">
        <v>3288</v>
      </c>
      <c r="K49" s="85">
        <v>850</v>
      </c>
      <c r="L49" s="88">
        <f>N49-J49-K49-M49</f>
        <v>962.50799999999981</v>
      </c>
      <c r="M49" s="88">
        <v>1500</v>
      </c>
      <c r="N49" s="85">
        <f t="shared" ref="N49" si="17">H49-O49</f>
        <v>6600.5079999999998</v>
      </c>
      <c r="O49" s="85">
        <v>2276</v>
      </c>
    </row>
    <row r="50" spans="1:15" ht="16.5" x14ac:dyDescent="0.3">
      <c r="A50" s="75" t="s">
        <v>113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159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150">
        <f ca="1">NOW()</f>
        <v>44176.610964814812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B42:C42"/>
    <mergeCell ref="B45:C45"/>
    <mergeCell ref="B32:J32"/>
    <mergeCell ref="B19:J19"/>
    <mergeCell ref="E45:O45"/>
    <mergeCell ref="E42:H42"/>
    <mergeCell ref="J42:N42"/>
    <mergeCell ref="G2:J2"/>
    <mergeCell ref="G16:I16"/>
    <mergeCell ref="B16:E16"/>
    <mergeCell ref="B2:E2"/>
    <mergeCell ref="B29:E29"/>
    <mergeCell ref="G29:I29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8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6" t="s">
        <v>115</v>
      </c>
      <c r="C2" s="76" t="s">
        <v>116</v>
      </c>
      <c r="D2" s="76" t="s">
        <v>117</v>
      </c>
      <c r="E2" s="76" t="s">
        <v>118</v>
      </c>
      <c r="F2" s="76" t="s">
        <v>119</v>
      </c>
      <c r="G2" s="76" t="s">
        <v>120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5"/>
      <c r="D3" s="95"/>
      <c r="E3" s="95"/>
      <c r="F3" s="95"/>
      <c r="G3" s="95"/>
      <c r="H3" s="1"/>
      <c r="I3" s="1"/>
      <c r="J3" s="1"/>
      <c r="K3" s="2"/>
    </row>
    <row r="4" spans="1:11" ht="14.5" x14ac:dyDescent="0.35">
      <c r="A4" s="96"/>
      <c r="B4" s="97" t="s">
        <v>68</v>
      </c>
      <c r="C4" s="97" t="s">
        <v>78</v>
      </c>
      <c r="D4" s="97" t="s">
        <v>95</v>
      </c>
      <c r="E4" s="97" t="s">
        <v>44</v>
      </c>
      <c r="F4" s="97" t="s">
        <v>67</v>
      </c>
      <c r="G4" s="97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8">
        <v>11.3</v>
      </c>
      <c r="C6" s="98">
        <v>161</v>
      </c>
      <c r="D6" s="98">
        <v>23.3</v>
      </c>
      <c r="E6" s="98">
        <v>19.3</v>
      </c>
      <c r="F6" s="98">
        <v>22.5</v>
      </c>
      <c r="G6" s="98">
        <v>12.2</v>
      </c>
      <c r="H6" s="1"/>
      <c r="I6" s="3"/>
      <c r="J6" s="3"/>
      <c r="K6" s="3"/>
    </row>
    <row r="7" spans="1:11" ht="14" x14ac:dyDescent="0.3">
      <c r="A7" s="35" t="s">
        <v>59</v>
      </c>
      <c r="B7" s="98">
        <v>12.5</v>
      </c>
      <c r="C7" s="98">
        <v>260</v>
      </c>
      <c r="D7" s="98">
        <v>29.1</v>
      </c>
      <c r="E7" s="98">
        <v>24</v>
      </c>
      <c r="F7" s="98">
        <v>31.8</v>
      </c>
      <c r="G7" s="98">
        <v>13.9</v>
      </c>
      <c r="H7" s="1"/>
      <c r="I7" s="3"/>
      <c r="J7" s="3"/>
      <c r="K7" s="3"/>
    </row>
    <row r="8" spans="1:11" ht="14" x14ac:dyDescent="0.3">
      <c r="A8" s="35" t="s">
        <v>81</v>
      </c>
      <c r="B8" s="98">
        <v>14.4</v>
      </c>
      <c r="C8" s="98">
        <v>252</v>
      </c>
      <c r="D8" s="98">
        <v>25.4</v>
      </c>
      <c r="E8" s="98">
        <v>26.5</v>
      </c>
      <c r="F8" s="98">
        <v>30.1</v>
      </c>
      <c r="G8" s="98">
        <v>13.8</v>
      </c>
      <c r="H8" s="1"/>
      <c r="I8" s="3"/>
      <c r="J8" s="3"/>
      <c r="K8" s="3"/>
    </row>
    <row r="9" spans="1:11" ht="14" x14ac:dyDescent="0.3">
      <c r="A9" s="35" t="s">
        <v>88</v>
      </c>
      <c r="B9" s="98">
        <v>13</v>
      </c>
      <c r="C9" s="98">
        <v>246</v>
      </c>
      <c r="D9" s="98">
        <v>21.4</v>
      </c>
      <c r="E9" s="98">
        <v>20.6</v>
      </c>
      <c r="F9" s="98">
        <v>24.9</v>
      </c>
      <c r="G9" s="98">
        <v>13.8</v>
      </c>
      <c r="H9" s="1"/>
      <c r="I9" s="3"/>
      <c r="J9" s="3"/>
      <c r="K9" s="3"/>
    </row>
    <row r="10" spans="1:11" ht="14" x14ac:dyDescent="0.3">
      <c r="A10" s="35" t="s">
        <v>91</v>
      </c>
      <c r="B10" s="98">
        <v>10.1</v>
      </c>
      <c r="C10" s="98">
        <v>194</v>
      </c>
      <c r="D10" s="98">
        <v>21.7</v>
      </c>
      <c r="E10" s="98">
        <v>16.899999999999999</v>
      </c>
      <c r="F10" s="98">
        <v>22</v>
      </c>
      <c r="G10" s="98">
        <v>11.8</v>
      </c>
      <c r="H10" s="1"/>
      <c r="I10" s="3"/>
      <c r="J10" s="3"/>
      <c r="K10" s="3"/>
    </row>
    <row r="11" spans="1:11" ht="14" x14ac:dyDescent="0.3">
      <c r="A11" s="35" t="s">
        <v>92</v>
      </c>
      <c r="B11" s="98">
        <v>8.9499999999999993</v>
      </c>
      <c r="C11" s="98">
        <v>227</v>
      </c>
      <c r="D11" s="98">
        <v>19.600000000000001</v>
      </c>
      <c r="E11" s="98">
        <v>15.6</v>
      </c>
      <c r="F11" s="98">
        <v>19.3</v>
      </c>
      <c r="G11" s="98">
        <v>8.9499999999999993</v>
      </c>
      <c r="H11" s="1"/>
      <c r="I11" s="3"/>
      <c r="J11" s="3"/>
      <c r="K11" s="3"/>
    </row>
    <row r="12" spans="1:11" ht="14" x14ac:dyDescent="0.3">
      <c r="A12" s="35" t="s">
        <v>107</v>
      </c>
      <c r="B12" s="98">
        <v>9.4700000000000006</v>
      </c>
      <c r="C12" s="98">
        <v>195</v>
      </c>
      <c r="D12" s="98">
        <v>17.399999999999999</v>
      </c>
      <c r="E12" s="98">
        <v>16.600000000000001</v>
      </c>
      <c r="F12" s="98">
        <v>19.7</v>
      </c>
      <c r="G12" s="98">
        <v>8</v>
      </c>
      <c r="H12" s="1"/>
      <c r="I12" s="3"/>
      <c r="J12" s="3"/>
      <c r="K12" s="3"/>
    </row>
    <row r="13" spans="1:11" ht="14" x14ac:dyDescent="0.3">
      <c r="A13" s="35" t="s">
        <v>109</v>
      </c>
      <c r="B13" s="98">
        <v>9.33</v>
      </c>
      <c r="C13" s="98">
        <v>142</v>
      </c>
      <c r="D13" s="98">
        <v>17.2</v>
      </c>
      <c r="E13" s="98">
        <v>17.5</v>
      </c>
      <c r="F13" s="98">
        <v>22.9</v>
      </c>
      <c r="G13" s="98">
        <v>9.5299999999999994</v>
      </c>
      <c r="H13" s="1"/>
      <c r="I13" s="3"/>
      <c r="J13" s="3"/>
      <c r="K13" s="3"/>
    </row>
    <row r="14" spans="1:11" ht="14" x14ac:dyDescent="0.3">
      <c r="A14" s="35" t="s">
        <v>142</v>
      </c>
      <c r="B14" s="98">
        <v>8.48</v>
      </c>
      <c r="C14" s="98">
        <v>155</v>
      </c>
      <c r="D14" s="98">
        <v>17.399999999999999</v>
      </c>
      <c r="E14" s="98">
        <v>15.8</v>
      </c>
      <c r="F14" s="98">
        <v>21.5</v>
      </c>
      <c r="G14" s="98">
        <v>9.89</v>
      </c>
      <c r="H14" s="1"/>
      <c r="I14" s="7"/>
      <c r="J14" s="3"/>
      <c r="K14" s="3"/>
    </row>
    <row r="15" spans="1:11" ht="14" x14ac:dyDescent="0.3">
      <c r="A15" s="35" t="s">
        <v>146</v>
      </c>
      <c r="B15" s="98">
        <v>8.57</v>
      </c>
      <c r="C15" s="98">
        <v>161</v>
      </c>
      <c r="D15" s="98">
        <v>19.5</v>
      </c>
      <c r="E15" s="98">
        <v>14.8</v>
      </c>
      <c r="F15" s="98">
        <v>20.5</v>
      </c>
      <c r="G15" s="98">
        <v>9.15</v>
      </c>
      <c r="H15" s="1"/>
      <c r="I15" s="7"/>
      <c r="J15" s="3"/>
      <c r="K15" s="3"/>
    </row>
    <row r="16" spans="1:11" ht="16.5" x14ac:dyDescent="0.3">
      <c r="A16" s="35" t="s">
        <v>158</v>
      </c>
      <c r="B16" s="98">
        <v>10.55</v>
      </c>
      <c r="C16" s="98">
        <v>190</v>
      </c>
      <c r="D16" s="98">
        <v>20</v>
      </c>
      <c r="E16" s="98">
        <v>16.5</v>
      </c>
      <c r="F16" s="98">
        <v>21</v>
      </c>
      <c r="G16" s="98">
        <v>10.199999999999999</v>
      </c>
      <c r="H16" s="1"/>
      <c r="I16" s="7"/>
      <c r="J16" s="3"/>
      <c r="K16" s="3"/>
    </row>
    <row r="17" spans="1:11" ht="14" x14ac:dyDescent="0.3">
      <c r="A17" s="38"/>
      <c r="B17" s="100"/>
      <c r="C17" s="101"/>
      <c r="D17" s="102"/>
      <c r="E17" s="102"/>
      <c r="F17" s="99"/>
      <c r="G17" s="103"/>
      <c r="H17" s="3"/>
      <c r="I17" s="7"/>
      <c r="J17" s="3"/>
      <c r="K17" s="3"/>
    </row>
    <row r="18" spans="1:11" ht="14" x14ac:dyDescent="0.3">
      <c r="A18" s="61" t="s">
        <v>146</v>
      </c>
      <c r="B18" s="98"/>
      <c r="C18" s="98"/>
      <c r="D18" s="98"/>
      <c r="E18" s="98"/>
      <c r="F18" s="98"/>
      <c r="G18" s="98"/>
    </row>
    <row r="19" spans="1:11" ht="14" x14ac:dyDescent="0.3">
      <c r="A19" s="38" t="s">
        <v>63</v>
      </c>
      <c r="B19" s="98">
        <v>8.35</v>
      </c>
      <c r="C19" s="98">
        <v>148</v>
      </c>
      <c r="D19" s="98">
        <v>18.5</v>
      </c>
      <c r="E19" s="98">
        <v>14.2</v>
      </c>
      <c r="F19" s="98">
        <v>19.8</v>
      </c>
      <c r="G19" s="98">
        <v>8.84</v>
      </c>
    </row>
    <row r="20" spans="1:11" ht="14" x14ac:dyDescent="0.3">
      <c r="A20" s="38" t="s">
        <v>50</v>
      </c>
      <c r="B20" s="98">
        <v>8.6</v>
      </c>
      <c r="C20" s="98">
        <v>152</v>
      </c>
      <c r="D20" s="98">
        <v>17.5</v>
      </c>
      <c r="E20" s="98">
        <v>14.2</v>
      </c>
      <c r="F20" s="98">
        <v>20.399999999999999</v>
      </c>
      <c r="G20" s="98">
        <v>9.01</v>
      </c>
    </row>
    <row r="21" spans="1:11" ht="14" x14ac:dyDescent="0.3">
      <c r="A21" s="38" t="s">
        <v>51</v>
      </c>
      <c r="B21" s="98">
        <v>8.59</v>
      </c>
      <c r="C21" s="98">
        <v>162</v>
      </c>
      <c r="D21" s="98">
        <v>17.7</v>
      </c>
      <c r="E21" s="98">
        <v>14.3</v>
      </c>
      <c r="F21" s="98">
        <v>19.2</v>
      </c>
      <c r="G21" s="98">
        <v>8.6999999999999993</v>
      </c>
    </row>
    <row r="22" spans="1:11" ht="14" x14ac:dyDescent="0.3">
      <c r="A22" s="38" t="s">
        <v>52</v>
      </c>
      <c r="B22" s="98">
        <v>8.6999999999999993</v>
      </c>
      <c r="C22" s="98">
        <v>163</v>
      </c>
      <c r="D22" s="98">
        <v>17.8</v>
      </c>
      <c r="E22" s="98">
        <v>14.7</v>
      </c>
      <c r="F22" s="98">
        <v>19.600000000000001</v>
      </c>
      <c r="G22" s="98">
        <v>8.91</v>
      </c>
    </row>
    <row r="23" spans="1:11" ht="14" x14ac:dyDescent="0.3">
      <c r="A23" s="38" t="s">
        <v>53</v>
      </c>
      <c r="B23" s="98">
        <v>8.84</v>
      </c>
      <c r="C23" s="98">
        <v>161</v>
      </c>
      <c r="D23" s="98">
        <v>19.5</v>
      </c>
      <c r="E23" s="98">
        <v>16.100000000000001</v>
      </c>
      <c r="F23" s="98">
        <v>20.9</v>
      </c>
      <c r="G23" s="98">
        <v>8.9700000000000006</v>
      </c>
    </row>
    <row r="24" spans="1:11" ht="14" x14ac:dyDescent="0.3">
      <c r="A24" s="38" t="s">
        <v>54</v>
      </c>
      <c r="B24" s="98">
        <v>8.6</v>
      </c>
      <c r="C24" s="98">
        <v>190</v>
      </c>
      <c r="D24" s="98">
        <v>20.399999999999999</v>
      </c>
      <c r="E24" s="98">
        <v>16.100000000000001</v>
      </c>
      <c r="F24" s="98">
        <v>20.5</v>
      </c>
      <c r="G24" s="98">
        <v>10.4</v>
      </c>
    </row>
    <row r="25" spans="1:11" ht="14" x14ac:dyDescent="0.3">
      <c r="A25" s="38" t="s">
        <v>55</v>
      </c>
      <c r="B25" s="98">
        <v>8.4700000000000006</v>
      </c>
      <c r="C25" s="98" t="s">
        <v>10</v>
      </c>
      <c r="D25" s="98">
        <v>20.9</v>
      </c>
      <c r="E25" s="98">
        <v>15.7</v>
      </c>
      <c r="F25" s="98">
        <v>20.6</v>
      </c>
      <c r="G25" s="98">
        <v>10.7</v>
      </c>
    </row>
    <row r="26" spans="1:11" ht="14" x14ac:dyDescent="0.3">
      <c r="A26" s="38" t="s">
        <v>56</v>
      </c>
      <c r="B26" s="98">
        <v>8.35</v>
      </c>
      <c r="C26" s="98" t="s">
        <v>10</v>
      </c>
      <c r="D26" s="98">
        <v>20.3</v>
      </c>
      <c r="E26" s="98">
        <v>15.2</v>
      </c>
      <c r="F26" s="98">
        <v>20.6</v>
      </c>
      <c r="G26" s="98">
        <v>9.31</v>
      </c>
    </row>
    <row r="27" spans="1:11" ht="14" x14ac:dyDescent="0.3">
      <c r="A27" s="38" t="s">
        <v>57</v>
      </c>
      <c r="B27" s="98">
        <v>8.2799999999999994</v>
      </c>
      <c r="C27" s="98" t="s">
        <v>10</v>
      </c>
      <c r="D27" s="98">
        <v>20.5</v>
      </c>
      <c r="E27" s="98">
        <v>14.4</v>
      </c>
      <c r="F27" s="98">
        <v>21.1</v>
      </c>
      <c r="G27" s="98">
        <v>9.57</v>
      </c>
    </row>
    <row r="28" spans="1:11" ht="14" x14ac:dyDescent="0.3">
      <c r="A28" s="38" t="s">
        <v>58</v>
      </c>
      <c r="B28" s="98">
        <v>8.34</v>
      </c>
      <c r="C28" s="98" t="s">
        <v>10</v>
      </c>
      <c r="D28" s="98">
        <v>21.7</v>
      </c>
      <c r="E28" s="98">
        <v>15.2</v>
      </c>
      <c r="F28" s="98">
        <v>20.7</v>
      </c>
      <c r="G28" s="98">
        <v>10</v>
      </c>
    </row>
    <row r="29" spans="1:11" ht="14" x14ac:dyDescent="0.3">
      <c r="A29" s="38" t="s">
        <v>60</v>
      </c>
      <c r="B29" s="98">
        <v>8.5</v>
      </c>
      <c r="C29" s="98" t="s">
        <v>10</v>
      </c>
      <c r="D29" s="98">
        <v>23.7</v>
      </c>
      <c r="E29" s="98">
        <v>15.5</v>
      </c>
      <c r="F29" s="98">
        <v>20.7</v>
      </c>
      <c r="G29" s="98">
        <v>9.64</v>
      </c>
    </row>
    <row r="30" spans="1:11" ht="14" x14ac:dyDescent="0.3">
      <c r="A30" s="38" t="s">
        <v>61</v>
      </c>
      <c r="B30" s="98">
        <v>8.66</v>
      </c>
      <c r="C30" s="98">
        <v>155</v>
      </c>
      <c r="D30" s="98">
        <v>25.8</v>
      </c>
      <c r="E30" s="98">
        <v>15.1</v>
      </c>
      <c r="F30" s="98">
        <v>20.6</v>
      </c>
      <c r="G30" s="98">
        <v>8.56</v>
      </c>
    </row>
    <row r="31" spans="1:11" ht="14" x14ac:dyDescent="0.3">
      <c r="A31" s="38"/>
      <c r="B31" s="98"/>
      <c r="C31" s="98"/>
      <c r="D31" s="98"/>
      <c r="E31" s="98"/>
      <c r="F31" s="98"/>
      <c r="G31" s="98"/>
    </row>
    <row r="32" spans="1:11" ht="14" x14ac:dyDescent="0.3">
      <c r="A32" s="61" t="s">
        <v>169</v>
      </c>
      <c r="B32" s="98"/>
      <c r="C32" s="98"/>
      <c r="D32" s="98"/>
      <c r="E32" s="98"/>
      <c r="F32" s="98"/>
      <c r="G32" s="98"/>
    </row>
    <row r="33" spans="1:7" ht="14" x14ac:dyDescent="0.3">
      <c r="A33" s="38" t="s">
        <v>63</v>
      </c>
      <c r="B33" s="98">
        <v>9.24</v>
      </c>
      <c r="C33" s="98">
        <v>160</v>
      </c>
      <c r="D33" s="98">
        <v>23.7</v>
      </c>
      <c r="E33" s="98">
        <v>16.399999999999999</v>
      </c>
      <c r="F33" s="98">
        <v>20.5</v>
      </c>
      <c r="G33" s="98">
        <v>9.64</v>
      </c>
    </row>
    <row r="34" spans="1:7" ht="14" x14ac:dyDescent="0.3">
      <c r="A34" s="34" t="s">
        <v>50</v>
      </c>
      <c r="B34" s="104">
        <v>9.6300000000000008</v>
      </c>
      <c r="C34" s="104">
        <v>189</v>
      </c>
      <c r="D34" s="104">
        <v>19.100000000000001</v>
      </c>
      <c r="E34" s="104">
        <v>16.2</v>
      </c>
      <c r="F34" s="104">
        <v>20.9</v>
      </c>
      <c r="G34" s="104">
        <v>9.76</v>
      </c>
    </row>
    <row r="35" spans="1:7" ht="16.5" x14ac:dyDescent="0.3">
      <c r="A35" s="35" t="s">
        <v>121</v>
      </c>
      <c r="B35" s="35"/>
      <c r="C35" s="35"/>
      <c r="D35" s="35"/>
      <c r="E35" s="35"/>
      <c r="F35" s="35"/>
      <c r="G35" s="35"/>
    </row>
    <row r="36" spans="1:7" ht="14" x14ac:dyDescent="0.3">
      <c r="A36" s="35" t="s">
        <v>49</v>
      </c>
      <c r="B36" s="105"/>
      <c r="C36" s="105" t="s">
        <v>162</v>
      </c>
      <c r="D36" s="105"/>
      <c r="E36" s="105"/>
      <c r="F36" s="105"/>
      <c r="G36" s="105"/>
    </row>
    <row r="37" spans="1:7" ht="14.5" x14ac:dyDescent="0.35">
      <c r="A37" s="35" t="s">
        <v>122</v>
      </c>
      <c r="B37" s="35"/>
      <c r="C37" s="35"/>
      <c r="D37" s="35"/>
      <c r="E37" s="35"/>
      <c r="F37" s="35"/>
      <c r="G37" s="35"/>
    </row>
    <row r="38" spans="1:7" ht="14" x14ac:dyDescent="0.3">
      <c r="A38" s="39" t="s">
        <v>20</v>
      </c>
      <c r="B38" s="67">
        <f ca="1">NOW()</f>
        <v>44176.610964814812</v>
      </c>
      <c r="C38" s="35"/>
      <c r="D38" s="35"/>
      <c r="E38" s="35"/>
      <c r="F38" s="35"/>
      <c r="G38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58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6" t="s">
        <v>11</v>
      </c>
      <c r="B2" s="76" t="s">
        <v>38</v>
      </c>
      <c r="C2" s="76" t="s">
        <v>13</v>
      </c>
      <c r="D2" s="76" t="s">
        <v>80</v>
      </c>
      <c r="E2" s="107" t="s">
        <v>46</v>
      </c>
      <c r="F2" s="107" t="s">
        <v>39</v>
      </c>
      <c r="G2" s="76" t="s">
        <v>43</v>
      </c>
      <c r="H2" s="76" t="s">
        <v>123</v>
      </c>
      <c r="I2" s="108" t="s">
        <v>42</v>
      </c>
    </row>
    <row r="3" spans="1:9" ht="15.65" customHeight="1" x14ac:dyDescent="0.3">
      <c r="A3" s="80" t="s">
        <v>12</v>
      </c>
      <c r="B3" s="42" t="s">
        <v>124</v>
      </c>
      <c r="C3" s="42" t="s">
        <v>125</v>
      </c>
      <c r="D3" s="42" t="s">
        <v>126</v>
      </c>
      <c r="E3" s="42" t="s">
        <v>126</v>
      </c>
      <c r="F3" s="42" t="s">
        <v>127</v>
      </c>
      <c r="G3" s="42" t="s">
        <v>128</v>
      </c>
      <c r="H3" s="42"/>
      <c r="I3" s="42" t="s">
        <v>129</v>
      </c>
    </row>
    <row r="4" spans="1:9" ht="14.5" x14ac:dyDescent="0.35">
      <c r="A4" s="35"/>
      <c r="B4" s="54" t="s">
        <v>96</v>
      </c>
      <c r="C4" s="109"/>
      <c r="D4" s="109"/>
      <c r="E4" s="109"/>
      <c r="F4" s="109"/>
      <c r="G4" s="109"/>
      <c r="H4" s="109"/>
      <c r="I4" s="109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8">
        <v>53.2</v>
      </c>
      <c r="C6" s="98">
        <v>54.5</v>
      </c>
      <c r="D6" s="98">
        <v>86.12</v>
      </c>
      <c r="E6" s="98">
        <v>58.68</v>
      </c>
      <c r="F6" s="98">
        <v>77.239999999999995</v>
      </c>
      <c r="G6" s="98">
        <v>60.76</v>
      </c>
      <c r="H6" s="98">
        <v>51.52</v>
      </c>
      <c r="I6" s="98">
        <v>51.34</v>
      </c>
    </row>
    <row r="7" spans="1:9" ht="14" x14ac:dyDescent="0.3">
      <c r="A7" s="35" t="s">
        <v>59</v>
      </c>
      <c r="B7" s="98">
        <v>51.9</v>
      </c>
      <c r="C7" s="98">
        <v>53.22</v>
      </c>
      <c r="D7" s="98">
        <v>83.2</v>
      </c>
      <c r="E7" s="98">
        <v>57.19</v>
      </c>
      <c r="F7" s="98">
        <v>100.15</v>
      </c>
      <c r="G7" s="98">
        <v>56.09</v>
      </c>
      <c r="H7" s="98">
        <v>48.11</v>
      </c>
      <c r="I7" s="98">
        <v>50.33</v>
      </c>
    </row>
    <row r="8" spans="1:9" ht="14" x14ac:dyDescent="0.3">
      <c r="A8" s="35" t="s">
        <v>81</v>
      </c>
      <c r="B8" s="98">
        <v>47.13</v>
      </c>
      <c r="C8" s="98">
        <v>48.6</v>
      </c>
      <c r="D8" s="98">
        <v>65.87</v>
      </c>
      <c r="E8" s="98">
        <v>56.17</v>
      </c>
      <c r="F8" s="98">
        <v>91.83</v>
      </c>
      <c r="G8" s="98">
        <v>46.66</v>
      </c>
      <c r="H8" s="98">
        <v>51.8</v>
      </c>
      <c r="I8" s="98">
        <v>43.24</v>
      </c>
    </row>
    <row r="9" spans="1:9" ht="14" x14ac:dyDescent="0.3">
      <c r="A9" s="35" t="s">
        <v>88</v>
      </c>
      <c r="B9" s="98">
        <v>38.229999999999997</v>
      </c>
      <c r="C9" s="98">
        <v>60.66</v>
      </c>
      <c r="D9" s="98">
        <v>59.12</v>
      </c>
      <c r="E9" s="98">
        <v>43.7</v>
      </c>
      <c r="F9" s="98">
        <v>68.23</v>
      </c>
      <c r="G9" s="98">
        <v>39.43</v>
      </c>
      <c r="H9" s="98">
        <v>43.93</v>
      </c>
      <c r="I9" s="98">
        <v>39.76</v>
      </c>
    </row>
    <row r="10" spans="1:9" ht="14" x14ac:dyDescent="0.3">
      <c r="A10" s="35" t="s">
        <v>91</v>
      </c>
      <c r="B10" s="98">
        <v>31.6</v>
      </c>
      <c r="C10" s="98">
        <v>45.74</v>
      </c>
      <c r="D10" s="98">
        <v>66.72</v>
      </c>
      <c r="E10" s="98">
        <v>37.81</v>
      </c>
      <c r="F10" s="98">
        <v>57.96</v>
      </c>
      <c r="G10" s="98">
        <v>37.479999999999997</v>
      </c>
      <c r="H10" s="98">
        <v>33.43</v>
      </c>
      <c r="I10" s="98">
        <v>31.36</v>
      </c>
    </row>
    <row r="11" spans="1:9" ht="14" x14ac:dyDescent="0.3">
      <c r="A11" s="35" t="s">
        <v>92</v>
      </c>
      <c r="B11" s="98">
        <v>29.86</v>
      </c>
      <c r="C11" s="98">
        <v>45.87</v>
      </c>
      <c r="D11" s="98">
        <v>57.81</v>
      </c>
      <c r="E11" s="98">
        <v>35.270000000000003</v>
      </c>
      <c r="F11" s="98">
        <v>58.26</v>
      </c>
      <c r="G11" s="98">
        <v>39.25</v>
      </c>
      <c r="H11" s="98">
        <v>32.229999999999997</v>
      </c>
      <c r="I11" s="98">
        <v>30.07</v>
      </c>
    </row>
    <row r="12" spans="1:9" ht="14" x14ac:dyDescent="0.3">
      <c r="A12" s="35" t="s">
        <v>107</v>
      </c>
      <c r="B12" s="98">
        <v>32.549999999999997</v>
      </c>
      <c r="C12" s="98">
        <v>40.92</v>
      </c>
      <c r="D12" s="98">
        <v>53.54</v>
      </c>
      <c r="E12" s="98">
        <v>38.729999999999997</v>
      </c>
      <c r="F12" s="98">
        <v>66.73</v>
      </c>
      <c r="G12" s="98">
        <v>37.43</v>
      </c>
      <c r="H12" s="98">
        <v>33.07</v>
      </c>
      <c r="I12" s="98">
        <v>34.75</v>
      </c>
    </row>
    <row r="13" spans="1:9" ht="14" x14ac:dyDescent="0.3">
      <c r="A13" s="35" t="s">
        <v>109</v>
      </c>
      <c r="B13" s="98">
        <v>30.04</v>
      </c>
      <c r="C13" s="98">
        <v>31.87</v>
      </c>
      <c r="D13" s="98">
        <v>54.57</v>
      </c>
      <c r="E13" s="98">
        <v>38.270000000000003</v>
      </c>
      <c r="F13" s="98">
        <v>66.72</v>
      </c>
      <c r="G13" s="98">
        <v>30.35</v>
      </c>
      <c r="H13" s="98">
        <v>34.159999999999997</v>
      </c>
      <c r="I13" s="98">
        <v>31.21</v>
      </c>
    </row>
    <row r="14" spans="1:9" ht="14" x14ac:dyDescent="0.3">
      <c r="A14" s="35" t="s">
        <v>142</v>
      </c>
      <c r="B14" s="98">
        <v>28.26</v>
      </c>
      <c r="C14" s="98">
        <v>35.14</v>
      </c>
      <c r="D14" s="98">
        <v>53.28</v>
      </c>
      <c r="E14" s="98">
        <v>36.090000000000003</v>
      </c>
      <c r="F14" s="98">
        <v>64.72</v>
      </c>
      <c r="G14" s="98">
        <v>26.93</v>
      </c>
      <c r="H14" s="98">
        <v>31.65</v>
      </c>
      <c r="I14" s="98">
        <v>33.11</v>
      </c>
    </row>
    <row r="15" spans="1:9" ht="16.5" x14ac:dyDescent="0.3">
      <c r="A15" s="35" t="s">
        <v>144</v>
      </c>
      <c r="B15" s="98">
        <v>29.67</v>
      </c>
      <c r="C15" s="98">
        <v>40.18</v>
      </c>
      <c r="D15" s="98">
        <v>65.03</v>
      </c>
      <c r="E15" s="98">
        <v>37.869999999999997</v>
      </c>
      <c r="F15" s="98">
        <v>65.569999999999993</v>
      </c>
      <c r="G15" s="98">
        <v>39.47</v>
      </c>
      <c r="H15" s="98">
        <v>35.75</v>
      </c>
      <c r="I15" s="98">
        <v>38.369999999999997</v>
      </c>
    </row>
    <row r="16" spans="1:9" ht="16.5" x14ac:dyDescent="0.3">
      <c r="A16" s="35" t="s">
        <v>158</v>
      </c>
      <c r="B16" s="98">
        <v>36</v>
      </c>
      <c r="C16" s="98">
        <v>52</v>
      </c>
      <c r="D16" s="98">
        <v>65</v>
      </c>
      <c r="E16" s="98">
        <v>47.5</v>
      </c>
      <c r="F16" s="98">
        <v>96</v>
      </c>
      <c r="G16" s="98">
        <v>41</v>
      </c>
      <c r="H16" s="98">
        <v>39.5</v>
      </c>
      <c r="I16" s="98">
        <v>34.5</v>
      </c>
    </row>
    <row r="17" spans="1:9" ht="14" x14ac:dyDescent="0.3">
      <c r="A17" s="35"/>
      <c r="B17" s="51"/>
      <c r="C17" s="101"/>
      <c r="D17" s="110"/>
      <c r="E17" s="110"/>
      <c r="F17" s="110"/>
      <c r="G17" s="110"/>
      <c r="H17" s="35"/>
      <c r="I17" s="35"/>
    </row>
    <row r="18" spans="1:9" ht="14" x14ac:dyDescent="0.3">
      <c r="A18" s="35" t="s">
        <v>146</v>
      </c>
      <c r="B18" s="98"/>
      <c r="C18" s="98"/>
      <c r="D18" s="98"/>
      <c r="E18" s="98"/>
      <c r="F18" s="98"/>
      <c r="G18" s="98"/>
      <c r="H18" s="98"/>
      <c r="I18" s="98"/>
    </row>
    <row r="19" spans="1:9" ht="14" x14ac:dyDescent="0.3">
      <c r="A19" s="38" t="s">
        <v>50</v>
      </c>
      <c r="B19" s="98">
        <v>30.14</v>
      </c>
      <c r="C19" s="98">
        <v>37.94</v>
      </c>
      <c r="D19" s="98">
        <v>56</v>
      </c>
      <c r="E19" s="98">
        <v>36.31</v>
      </c>
      <c r="F19" s="98">
        <v>61.5</v>
      </c>
      <c r="G19" s="98">
        <v>28.3</v>
      </c>
      <c r="H19" s="98" t="s">
        <v>10</v>
      </c>
      <c r="I19" s="98" t="s">
        <v>10</v>
      </c>
    </row>
    <row r="20" spans="1:9" ht="14" x14ac:dyDescent="0.3">
      <c r="A20" s="38" t="s">
        <v>51</v>
      </c>
      <c r="B20" s="98">
        <v>30.62</v>
      </c>
      <c r="C20" s="98">
        <v>38.4</v>
      </c>
      <c r="D20" s="98">
        <v>56</v>
      </c>
      <c r="E20" s="98">
        <v>36.15</v>
      </c>
      <c r="F20" s="98">
        <v>63.1</v>
      </c>
      <c r="G20" s="98">
        <v>30.36</v>
      </c>
      <c r="H20" s="98" t="s">
        <v>10</v>
      </c>
      <c r="I20" s="98">
        <v>35</v>
      </c>
    </row>
    <row r="21" spans="1:9" ht="14" x14ac:dyDescent="0.3">
      <c r="A21" s="38" t="s">
        <v>52</v>
      </c>
      <c r="B21" s="98">
        <v>32.270000000000003</v>
      </c>
      <c r="C21" s="98">
        <v>40.25</v>
      </c>
      <c r="D21" s="98">
        <v>76</v>
      </c>
      <c r="E21" s="98">
        <v>38.06</v>
      </c>
      <c r="F21" s="98">
        <v>60.13</v>
      </c>
      <c r="G21" s="98">
        <v>31.25</v>
      </c>
      <c r="H21" s="98" t="s">
        <v>10</v>
      </c>
      <c r="I21" s="98" t="s">
        <v>10</v>
      </c>
    </row>
    <row r="22" spans="1:9" ht="14" x14ac:dyDescent="0.3">
      <c r="A22" s="38" t="s">
        <v>53</v>
      </c>
      <c r="B22" s="98">
        <v>33.04</v>
      </c>
      <c r="C22" s="98">
        <v>40.1</v>
      </c>
      <c r="D22" s="98">
        <v>70</v>
      </c>
      <c r="E22" s="98">
        <v>37.9</v>
      </c>
      <c r="F22" s="98">
        <v>59</v>
      </c>
      <c r="G22" s="98">
        <v>33.299999999999997</v>
      </c>
      <c r="H22" s="98" t="s">
        <v>10</v>
      </c>
      <c r="I22" s="98">
        <v>36.14</v>
      </c>
    </row>
    <row r="23" spans="1:9" ht="14" x14ac:dyDescent="0.3">
      <c r="A23" s="38" t="s">
        <v>54</v>
      </c>
      <c r="B23" s="98">
        <v>30.26</v>
      </c>
      <c r="C23" s="98">
        <v>38.5</v>
      </c>
      <c r="D23" s="98">
        <v>70</v>
      </c>
      <c r="E23" s="98">
        <v>35.5</v>
      </c>
      <c r="F23" s="98">
        <v>59</v>
      </c>
      <c r="G23" s="98">
        <v>36</v>
      </c>
      <c r="H23" s="98" t="s">
        <v>10</v>
      </c>
      <c r="I23" s="98">
        <v>38.21</v>
      </c>
    </row>
    <row r="24" spans="1:9" ht="14" x14ac:dyDescent="0.3">
      <c r="A24" s="38" t="s">
        <v>55</v>
      </c>
      <c r="B24" s="98">
        <v>27.04</v>
      </c>
      <c r="C24" s="98">
        <v>36.19</v>
      </c>
      <c r="D24" s="98">
        <v>76</v>
      </c>
      <c r="E24" s="98">
        <v>32.880000000000003</v>
      </c>
      <c r="F24" s="98">
        <v>59.75</v>
      </c>
      <c r="G24" s="98">
        <v>36.94</v>
      </c>
      <c r="H24" s="98" t="s">
        <v>10</v>
      </c>
      <c r="I24" s="98">
        <v>35.5</v>
      </c>
    </row>
    <row r="25" spans="1:9" ht="14" x14ac:dyDescent="0.3">
      <c r="A25" s="38" t="s">
        <v>56</v>
      </c>
      <c r="B25" s="98">
        <v>25.69</v>
      </c>
      <c r="C25" s="98">
        <v>37.31</v>
      </c>
      <c r="D25" s="98">
        <v>76</v>
      </c>
      <c r="E25" s="98">
        <v>32.380000000000003</v>
      </c>
      <c r="F25" s="98">
        <v>59.5</v>
      </c>
      <c r="G25" s="98">
        <v>44.88</v>
      </c>
      <c r="H25" s="98">
        <v>32</v>
      </c>
      <c r="I25" s="98">
        <v>37.18</v>
      </c>
    </row>
    <row r="26" spans="1:9" ht="14" x14ac:dyDescent="0.3">
      <c r="A26" s="38" t="s">
        <v>57</v>
      </c>
      <c r="B26" s="98">
        <v>25.27</v>
      </c>
      <c r="C26" s="98">
        <v>37.200000000000003</v>
      </c>
      <c r="D26" s="98">
        <v>74</v>
      </c>
      <c r="E26" s="98">
        <v>32.4</v>
      </c>
      <c r="F26" s="98">
        <v>62.1</v>
      </c>
      <c r="G26" s="98">
        <v>47.64</v>
      </c>
      <c r="H26" s="98">
        <v>35.5</v>
      </c>
      <c r="I26" s="98">
        <v>43.95</v>
      </c>
    </row>
    <row r="27" spans="1:9" ht="14" x14ac:dyDescent="0.3">
      <c r="A27" s="38" t="s">
        <v>58</v>
      </c>
      <c r="B27" s="98">
        <v>26.61</v>
      </c>
      <c r="C27" s="98">
        <v>36.75</v>
      </c>
      <c r="D27" s="98">
        <v>56</v>
      </c>
      <c r="E27" s="98">
        <v>36.630000000000003</v>
      </c>
      <c r="F27" s="98">
        <v>84.75</v>
      </c>
      <c r="G27" s="98">
        <v>51.34</v>
      </c>
      <c r="H27" s="98">
        <v>36.5</v>
      </c>
      <c r="I27" s="98">
        <v>41.92</v>
      </c>
    </row>
    <row r="28" spans="1:9" ht="14" x14ac:dyDescent="0.3">
      <c r="A28" s="38" t="s">
        <v>60</v>
      </c>
      <c r="B28" s="98">
        <v>28.71</v>
      </c>
      <c r="C28" s="98">
        <v>43</v>
      </c>
      <c r="D28" s="98">
        <v>56.4</v>
      </c>
      <c r="E28" s="98">
        <v>40.5</v>
      </c>
      <c r="F28" s="98">
        <v>85</v>
      </c>
      <c r="G28" s="98">
        <v>45.45</v>
      </c>
      <c r="H28" s="98" t="s">
        <v>10</v>
      </c>
      <c r="I28" s="98">
        <v>39.43</v>
      </c>
    </row>
    <row r="29" spans="1:9" ht="14" x14ac:dyDescent="0.3">
      <c r="A29" s="38" t="s">
        <v>61</v>
      </c>
      <c r="B29" s="98">
        <v>32.130000000000003</v>
      </c>
      <c r="C29" s="98">
        <v>46.81</v>
      </c>
      <c r="D29" s="98">
        <v>57</v>
      </c>
      <c r="E29" s="98">
        <v>47.81</v>
      </c>
      <c r="F29" s="98">
        <v>90</v>
      </c>
      <c r="G29" s="98">
        <v>44.75</v>
      </c>
      <c r="H29" s="98">
        <v>39</v>
      </c>
      <c r="I29" s="98">
        <v>39.33</v>
      </c>
    </row>
    <row r="30" spans="1:9" ht="14" x14ac:dyDescent="0.3">
      <c r="A30" s="38" t="s">
        <v>63</v>
      </c>
      <c r="B30" s="98">
        <v>34.200000000000003</v>
      </c>
      <c r="C30" s="98">
        <v>49.69</v>
      </c>
      <c r="D30" s="98">
        <v>57</v>
      </c>
      <c r="E30" s="98">
        <v>47.94</v>
      </c>
      <c r="F30" s="98">
        <v>90</v>
      </c>
      <c r="G30" s="98">
        <v>43.38</v>
      </c>
      <c r="H30" s="98" t="s">
        <v>10</v>
      </c>
      <c r="I30" s="98">
        <v>37</v>
      </c>
    </row>
    <row r="31" spans="1:9" ht="14" x14ac:dyDescent="0.3">
      <c r="A31" s="38"/>
      <c r="B31" s="98"/>
      <c r="C31" s="98"/>
      <c r="D31" s="98"/>
      <c r="E31" s="98"/>
      <c r="F31" s="98"/>
      <c r="G31" s="98"/>
      <c r="H31" s="98"/>
      <c r="I31" s="98"/>
    </row>
    <row r="32" spans="1:9" ht="14" x14ac:dyDescent="0.3">
      <c r="A32" s="35" t="s">
        <v>169</v>
      </c>
      <c r="B32" s="98"/>
      <c r="C32" s="98"/>
      <c r="D32" s="98"/>
      <c r="E32" s="98"/>
      <c r="F32" s="98"/>
      <c r="G32" s="98"/>
      <c r="H32" s="98"/>
      <c r="I32" s="98"/>
    </row>
    <row r="33" spans="1:9" ht="14" x14ac:dyDescent="0.3">
      <c r="A33" s="38" t="s">
        <v>50</v>
      </c>
      <c r="B33" s="98">
        <v>33.92</v>
      </c>
      <c r="C33" s="98">
        <v>48.35</v>
      </c>
      <c r="D33" s="98">
        <v>57</v>
      </c>
      <c r="E33" s="98">
        <v>44.35</v>
      </c>
      <c r="F33" s="98">
        <v>93</v>
      </c>
      <c r="G33" s="98">
        <v>43.15</v>
      </c>
      <c r="H33" s="98" t="s">
        <v>10</v>
      </c>
      <c r="I33" s="98">
        <v>35.57</v>
      </c>
    </row>
    <row r="34" spans="1:9" ht="14" x14ac:dyDescent="0.3">
      <c r="A34" s="34" t="s">
        <v>51</v>
      </c>
      <c r="B34" s="104">
        <v>37.79</v>
      </c>
      <c r="C34" s="104">
        <v>54.44</v>
      </c>
      <c r="D34" s="104" t="s">
        <v>10</v>
      </c>
      <c r="E34" s="104">
        <v>49.5</v>
      </c>
      <c r="F34" s="104">
        <v>98.75</v>
      </c>
      <c r="G34" s="104">
        <v>42.53</v>
      </c>
      <c r="H34" s="104">
        <v>41</v>
      </c>
      <c r="I34" s="104">
        <v>33.5</v>
      </c>
    </row>
    <row r="35" spans="1:9" ht="16.5" x14ac:dyDescent="0.3">
      <c r="A35" s="75" t="s">
        <v>138</v>
      </c>
      <c r="B35" s="111"/>
      <c r="C35" s="111"/>
      <c r="D35" s="111"/>
      <c r="E35" s="111"/>
      <c r="F35" s="111"/>
      <c r="G35" s="111"/>
      <c r="H35" s="111"/>
      <c r="I35" s="111"/>
    </row>
    <row r="36" spans="1:9" ht="16.5" x14ac:dyDescent="0.3">
      <c r="A36" s="35" t="s">
        <v>139</v>
      </c>
      <c r="B36" s="111"/>
      <c r="C36" s="111"/>
      <c r="D36" s="111"/>
      <c r="E36" s="111"/>
      <c r="F36" s="111"/>
      <c r="G36" s="111"/>
      <c r="H36" s="111"/>
      <c r="I36" s="111"/>
    </row>
    <row r="37" spans="1:9" ht="14.5" x14ac:dyDescent="0.35">
      <c r="A37" s="35" t="s">
        <v>161</v>
      </c>
      <c r="B37" s="35"/>
      <c r="C37" s="35"/>
      <c r="D37" s="35"/>
      <c r="E37" s="35"/>
      <c r="F37" s="111"/>
      <c r="G37" s="35"/>
      <c r="H37" s="35"/>
      <c r="I37" s="35"/>
    </row>
    <row r="38" spans="1:9" ht="14" x14ac:dyDescent="0.3">
      <c r="A38" s="39" t="s">
        <v>20</v>
      </c>
      <c r="B38" s="67">
        <f ca="1">NOW()</f>
        <v>44176.610964814812</v>
      </c>
      <c r="C38" s="35"/>
      <c r="D38" s="35"/>
      <c r="E38" s="35"/>
      <c r="F38" s="35"/>
      <c r="G38" s="35"/>
      <c r="H38" s="35"/>
      <c r="I38" s="35"/>
    </row>
    <row r="39" spans="1:9" ht="15.5" x14ac:dyDescent="0.35">
      <c r="C39" s="14"/>
      <c r="G39" s="14"/>
      <c r="H39" s="14"/>
      <c r="I39" s="14"/>
    </row>
    <row r="40" spans="1:9" ht="15.5" x14ac:dyDescent="0.35">
      <c r="C40" s="14"/>
      <c r="G40" s="14"/>
      <c r="H40" s="14"/>
      <c r="I40" s="14"/>
    </row>
    <row r="41" spans="1:9" ht="15.5" x14ac:dyDescent="0.35">
      <c r="C41" s="14"/>
      <c r="G41" s="14"/>
      <c r="H41" s="14"/>
      <c r="I41" s="14"/>
    </row>
    <row r="42" spans="1:9" ht="15.5" x14ac:dyDescent="0.35">
      <c r="C42" s="14"/>
      <c r="G42" s="14"/>
      <c r="H42" s="14"/>
      <c r="I42" s="14"/>
    </row>
    <row r="43" spans="1:9" ht="15.5" x14ac:dyDescent="0.35">
      <c r="C43" s="14"/>
      <c r="G43" s="14"/>
      <c r="H43" s="14"/>
      <c r="I43" s="14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H55" s="14"/>
      <c r="I55" s="14"/>
    </row>
    <row r="56" spans="3:9" ht="15.5" x14ac:dyDescent="0.35">
      <c r="C56" s="14"/>
      <c r="H56" s="14"/>
      <c r="I56" s="14"/>
    </row>
    <row r="57" spans="3:9" ht="15.5" x14ac:dyDescent="0.35">
      <c r="C57" s="14"/>
      <c r="F57" s="16"/>
      <c r="H57" s="14"/>
      <c r="I57" s="14"/>
    </row>
    <row r="58" spans="3:9" ht="15.5" x14ac:dyDescent="0.35">
      <c r="F58" s="16"/>
      <c r="H58" s="14"/>
      <c r="I58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0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  <col min="8" max="8" width="10.08984375" bestFit="1" customWidth="1"/>
  </cols>
  <sheetData>
    <row r="1" spans="1:7" ht="14" x14ac:dyDescent="0.3">
      <c r="A1" s="34" t="s">
        <v>37</v>
      </c>
      <c r="B1" s="34"/>
      <c r="C1" s="34"/>
      <c r="D1" s="34"/>
      <c r="E1" s="34"/>
      <c r="F1" s="34"/>
      <c r="G1" s="34"/>
    </row>
    <row r="2" spans="1:7" ht="15.65" customHeight="1" x14ac:dyDescent="0.3">
      <c r="A2" s="38" t="s">
        <v>11</v>
      </c>
      <c r="B2" s="76" t="s">
        <v>38</v>
      </c>
      <c r="C2" s="112" t="s">
        <v>13</v>
      </c>
      <c r="D2" s="112" t="s">
        <v>80</v>
      </c>
      <c r="E2" s="112" t="s">
        <v>39</v>
      </c>
      <c r="F2" s="76" t="s">
        <v>40</v>
      </c>
      <c r="G2" s="37" t="s">
        <v>41</v>
      </c>
    </row>
    <row r="3" spans="1:7" ht="15.65" customHeight="1" x14ac:dyDescent="0.3">
      <c r="A3" s="34" t="s">
        <v>12</v>
      </c>
      <c r="B3" s="42" t="s">
        <v>130</v>
      </c>
      <c r="C3" s="42" t="s">
        <v>131</v>
      </c>
      <c r="D3" s="42" t="s">
        <v>132</v>
      </c>
      <c r="E3" s="42" t="s">
        <v>133</v>
      </c>
      <c r="F3" s="42" t="s">
        <v>134</v>
      </c>
      <c r="G3" s="42" t="s">
        <v>135</v>
      </c>
    </row>
    <row r="4" spans="1:7" ht="14.5" x14ac:dyDescent="0.35">
      <c r="A4" s="35"/>
      <c r="B4" s="54" t="s">
        <v>97</v>
      </c>
      <c r="C4" s="109"/>
      <c r="D4" s="109"/>
      <c r="E4" s="109"/>
      <c r="F4" s="109"/>
      <c r="G4" s="109"/>
    </row>
    <row r="5" spans="1:7" ht="14" x14ac:dyDescent="0.3">
      <c r="A5" s="35"/>
      <c r="B5" s="35"/>
      <c r="C5" s="35"/>
      <c r="D5" s="35"/>
      <c r="E5" s="35"/>
      <c r="F5" s="35"/>
      <c r="G5" s="35"/>
    </row>
    <row r="6" spans="1:7" ht="14" x14ac:dyDescent="0.3">
      <c r="A6" s="35" t="s">
        <v>48</v>
      </c>
      <c r="B6" s="98">
        <v>345.52</v>
      </c>
      <c r="C6" s="98">
        <v>273.83999999999997</v>
      </c>
      <c r="D6" s="98">
        <v>219.72</v>
      </c>
      <c r="E6" s="113" t="s">
        <v>10</v>
      </c>
      <c r="F6" s="98">
        <v>263.63</v>
      </c>
      <c r="G6" s="98">
        <v>240.65</v>
      </c>
    </row>
    <row r="7" spans="1:7" ht="14" x14ac:dyDescent="0.3">
      <c r="A7" s="35" t="s">
        <v>59</v>
      </c>
      <c r="B7" s="98">
        <v>393.53</v>
      </c>
      <c r="C7" s="98">
        <v>275.13</v>
      </c>
      <c r="D7" s="98">
        <v>246.75</v>
      </c>
      <c r="E7" s="113" t="s">
        <v>10</v>
      </c>
      <c r="F7" s="98">
        <v>307.58999999999997</v>
      </c>
      <c r="G7" s="98">
        <v>265.68</v>
      </c>
    </row>
    <row r="8" spans="1:7" ht="14" x14ac:dyDescent="0.3">
      <c r="A8" s="35" t="s">
        <v>81</v>
      </c>
      <c r="B8" s="98">
        <v>468.11</v>
      </c>
      <c r="C8" s="98">
        <v>331.52</v>
      </c>
      <c r="D8" s="98">
        <v>241.57</v>
      </c>
      <c r="E8" s="113" t="s">
        <v>10</v>
      </c>
      <c r="F8" s="98">
        <v>354.22</v>
      </c>
      <c r="G8" s="98">
        <v>329.31</v>
      </c>
    </row>
    <row r="9" spans="1:7" ht="14" x14ac:dyDescent="0.3">
      <c r="A9" s="35" t="s">
        <v>88</v>
      </c>
      <c r="B9" s="98">
        <v>489.94</v>
      </c>
      <c r="C9" s="98">
        <v>377.71</v>
      </c>
      <c r="D9" s="98">
        <v>238.87</v>
      </c>
      <c r="E9" s="113" t="s">
        <v>10</v>
      </c>
      <c r="F9" s="98">
        <v>359.7</v>
      </c>
      <c r="G9" s="98">
        <v>337.23</v>
      </c>
    </row>
    <row r="10" spans="1:7" ht="14" x14ac:dyDescent="0.3">
      <c r="A10" s="35" t="s">
        <v>91</v>
      </c>
      <c r="B10" s="98">
        <v>368.49</v>
      </c>
      <c r="C10" s="98">
        <v>304.27</v>
      </c>
      <c r="D10" s="98">
        <v>209.97</v>
      </c>
      <c r="E10" s="113" t="s">
        <v>10</v>
      </c>
      <c r="F10" s="98">
        <v>301.2</v>
      </c>
      <c r="G10" s="98">
        <v>256.58</v>
      </c>
    </row>
    <row r="11" spans="1:7" ht="14" x14ac:dyDescent="0.3">
      <c r="A11" s="35" t="s">
        <v>92</v>
      </c>
      <c r="B11" s="98">
        <v>324.56</v>
      </c>
      <c r="C11" s="98">
        <v>261.19</v>
      </c>
      <c r="D11" s="98">
        <v>153.16999999999999</v>
      </c>
      <c r="E11" s="113" t="s">
        <v>10</v>
      </c>
      <c r="F11" s="98">
        <v>262.2</v>
      </c>
      <c r="G11" s="98">
        <v>260.23</v>
      </c>
    </row>
    <row r="12" spans="1:7" ht="14" x14ac:dyDescent="0.3">
      <c r="A12" s="35" t="s">
        <v>107</v>
      </c>
      <c r="B12" s="98">
        <v>316.88</v>
      </c>
      <c r="C12" s="98">
        <v>208.61</v>
      </c>
      <c r="D12" s="98">
        <v>145.1</v>
      </c>
      <c r="E12" s="113" t="s">
        <v>10</v>
      </c>
      <c r="F12" s="98">
        <v>267.94</v>
      </c>
      <c r="G12" s="98">
        <v>282.49</v>
      </c>
    </row>
    <row r="13" spans="1:7" ht="14" x14ac:dyDescent="0.3">
      <c r="A13" s="35" t="s">
        <v>109</v>
      </c>
      <c r="B13" s="98">
        <v>345.02</v>
      </c>
      <c r="C13" s="98">
        <v>260.88</v>
      </c>
      <c r="D13" s="98">
        <v>173.53</v>
      </c>
      <c r="E13" s="113" t="s">
        <v>10</v>
      </c>
      <c r="F13" s="98">
        <v>291.14999999999998</v>
      </c>
      <c r="G13" s="98">
        <v>239.15</v>
      </c>
    </row>
    <row r="14" spans="1:7" ht="14" x14ac:dyDescent="0.3">
      <c r="A14" s="35" t="s">
        <v>142</v>
      </c>
      <c r="B14" s="98">
        <v>308.27999999999997</v>
      </c>
      <c r="C14" s="98">
        <v>228.64</v>
      </c>
      <c r="D14" s="119">
        <v>164.16</v>
      </c>
      <c r="E14" s="113" t="s">
        <v>10</v>
      </c>
      <c r="F14" s="98">
        <v>272.38</v>
      </c>
      <c r="G14" s="98">
        <v>225.77</v>
      </c>
    </row>
    <row r="15" spans="1:7" ht="16.5" x14ac:dyDescent="0.3">
      <c r="A15" s="35" t="s">
        <v>144</v>
      </c>
      <c r="B15" s="98">
        <v>299.5</v>
      </c>
      <c r="C15" s="98">
        <v>247.04</v>
      </c>
      <c r="D15" s="119">
        <v>187.7</v>
      </c>
      <c r="E15" s="113" t="s">
        <v>10</v>
      </c>
      <c r="F15" s="98">
        <v>273.99</v>
      </c>
      <c r="G15" s="98">
        <v>245.88</v>
      </c>
    </row>
    <row r="16" spans="1:7" ht="16.5" x14ac:dyDescent="0.3">
      <c r="A16" s="35" t="s">
        <v>158</v>
      </c>
      <c r="B16" s="98">
        <v>370</v>
      </c>
      <c r="C16" s="98">
        <v>325</v>
      </c>
      <c r="D16" s="119">
        <v>220</v>
      </c>
      <c r="E16" s="113" t="s">
        <v>10</v>
      </c>
      <c r="F16" s="98">
        <v>315</v>
      </c>
      <c r="G16" s="98">
        <v>235</v>
      </c>
    </row>
    <row r="17" spans="1:13" ht="14" x14ac:dyDescent="0.3">
      <c r="A17" s="114"/>
      <c r="B17" s="98"/>
      <c r="C17" s="98"/>
      <c r="D17" s="98"/>
      <c r="E17" s="113"/>
      <c r="F17" s="98"/>
      <c r="G17" s="98"/>
      <c r="H17" s="13"/>
    </row>
    <row r="18" spans="1:13" ht="14" x14ac:dyDescent="0.3">
      <c r="A18" s="35" t="s">
        <v>146</v>
      </c>
      <c r="B18" s="98"/>
      <c r="C18" s="98"/>
      <c r="D18" s="98"/>
      <c r="E18" s="113"/>
      <c r="F18" s="98"/>
      <c r="G18" s="98"/>
      <c r="I18" s="6"/>
      <c r="J18" s="6"/>
      <c r="K18" s="6"/>
      <c r="L18" s="6"/>
      <c r="M18" s="6"/>
    </row>
    <row r="19" spans="1:13" ht="14" x14ac:dyDescent="0.3">
      <c r="A19" s="35" t="s">
        <v>50</v>
      </c>
      <c r="B19" s="98">
        <v>309.48</v>
      </c>
      <c r="C19" s="98">
        <v>213.13</v>
      </c>
      <c r="D19" s="98">
        <v>169</v>
      </c>
      <c r="E19" s="113" t="s">
        <v>10</v>
      </c>
      <c r="F19" s="98">
        <v>267.89999999999998</v>
      </c>
      <c r="G19" s="98">
        <v>226.5</v>
      </c>
      <c r="I19" s="6"/>
      <c r="J19" s="6"/>
      <c r="K19" s="6"/>
      <c r="L19" s="6"/>
      <c r="M19" s="6"/>
    </row>
    <row r="20" spans="1:13" ht="14" x14ac:dyDescent="0.3">
      <c r="A20" s="35" t="s">
        <v>51</v>
      </c>
      <c r="B20" s="98">
        <v>303.13</v>
      </c>
      <c r="C20" s="98">
        <v>233.75</v>
      </c>
      <c r="D20" s="98">
        <v>166.88</v>
      </c>
      <c r="E20" s="113" t="s">
        <v>10</v>
      </c>
      <c r="F20" s="98" t="s">
        <v>10</v>
      </c>
      <c r="G20" s="98">
        <v>226.88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8">
        <v>299.58999999999997</v>
      </c>
      <c r="C21" s="98">
        <v>250.83</v>
      </c>
      <c r="D21" s="98">
        <v>180</v>
      </c>
      <c r="E21" s="113" t="s">
        <v>10</v>
      </c>
      <c r="F21" s="98" t="s">
        <v>10</v>
      </c>
      <c r="G21" s="98">
        <f>(235+227.5+232.5)/3</f>
        <v>231.66666666666666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8">
        <v>300.11</v>
      </c>
      <c r="C22" s="98">
        <v>239.38</v>
      </c>
      <c r="D22" s="98">
        <v>185</v>
      </c>
      <c r="E22" s="113" t="s">
        <v>10</v>
      </c>
      <c r="F22" s="98" t="s">
        <v>10</v>
      </c>
      <c r="G22" s="98">
        <v>248.13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8">
        <v>295.27999999999997</v>
      </c>
      <c r="C23" s="98">
        <v>250.63</v>
      </c>
      <c r="D23" s="98">
        <v>188.13</v>
      </c>
      <c r="E23" s="113" t="s">
        <v>10</v>
      </c>
      <c r="F23" s="98">
        <v>253.67</v>
      </c>
      <c r="G23" s="98">
        <v>262.5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8">
        <v>312.38</v>
      </c>
      <c r="C24" s="98">
        <v>259</v>
      </c>
      <c r="D24" s="98">
        <v>180</v>
      </c>
      <c r="E24" s="113" t="s">
        <v>10</v>
      </c>
      <c r="F24" s="98">
        <v>274.75</v>
      </c>
      <c r="G24" s="98">
        <v>263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8">
        <v>295.39999999999998</v>
      </c>
      <c r="C25" s="98">
        <v>281.88</v>
      </c>
      <c r="D25" s="98">
        <v>183.75</v>
      </c>
      <c r="E25" s="113" t="s">
        <v>10</v>
      </c>
      <c r="F25" s="98">
        <v>274.52999999999997</v>
      </c>
      <c r="G25" s="98">
        <v>260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8">
        <v>288.56</v>
      </c>
      <c r="C26" s="98">
        <v>251.88</v>
      </c>
      <c r="D26" s="98">
        <v>180.63</v>
      </c>
      <c r="E26" s="113" t="s">
        <v>10</v>
      </c>
      <c r="F26" s="98">
        <v>276.25</v>
      </c>
      <c r="G26" s="98">
        <v>257.5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8">
        <v>288.66000000000003</v>
      </c>
      <c r="C27" s="98">
        <v>245.5</v>
      </c>
      <c r="D27" s="98">
        <v>187.5</v>
      </c>
      <c r="E27" s="113" t="s">
        <v>10</v>
      </c>
      <c r="F27" s="98">
        <v>270.02999999999997</v>
      </c>
      <c r="G27" s="98">
        <v>245.63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8">
        <v>291.25</v>
      </c>
      <c r="C28" s="98">
        <v>245</v>
      </c>
      <c r="D28" s="98">
        <v>202.5</v>
      </c>
      <c r="E28" s="113" t="s">
        <v>10</v>
      </c>
      <c r="F28" s="98">
        <v>271.11</v>
      </c>
      <c r="G28" s="98">
        <v>250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8">
        <v>290.18</v>
      </c>
      <c r="C29" s="98">
        <v>245</v>
      </c>
      <c r="D29" s="98">
        <v>217.5</v>
      </c>
      <c r="E29" s="113" t="s">
        <v>10</v>
      </c>
      <c r="F29" s="98">
        <v>281.08999999999997</v>
      </c>
      <c r="G29" s="98">
        <v>251.75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8">
        <v>319.99</v>
      </c>
      <c r="C30" s="98">
        <v>248.5</v>
      </c>
      <c r="D30" s="98">
        <v>211.5</v>
      </c>
      <c r="E30" s="113" t="s">
        <v>10</v>
      </c>
      <c r="F30" s="98">
        <v>296.60000000000002</v>
      </c>
      <c r="G30" s="98">
        <v>227</v>
      </c>
      <c r="I30" s="6"/>
      <c r="J30" s="6"/>
      <c r="K30" s="6"/>
      <c r="L30" s="6"/>
      <c r="M30" s="6"/>
    </row>
    <row r="31" spans="1:13" ht="14" x14ac:dyDescent="0.3">
      <c r="A31" s="38"/>
      <c r="B31" s="98"/>
      <c r="C31" s="98"/>
      <c r="D31" s="98"/>
      <c r="E31" s="113"/>
      <c r="F31" s="98"/>
      <c r="G31" s="98"/>
      <c r="I31" s="6"/>
      <c r="J31" s="6"/>
      <c r="K31" s="6"/>
      <c r="L31" s="6"/>
      <c r="M31" s="6"/>
    </row>
    <row r="32" spans="1:13" ht="14" x14ac:dyDescent="0.3">
      <c r="A32" s="35" t="s">
        <v>169</v>
      </c>
      <c r="B32" s="98"/>
      <c r="C32" s="98"/>
      <c r="D32" s="98"/>
      <c r="E32" s="113"/>
      <c r="F32" s="98"/>
      <c r="G32" s="98"/>
      <c r="I32" s="6"/>
      <c r="J32" s="6"/>
      <c r="K32" s="6"/>
      <c r="L32" s="6"/>
      <c r="M32" s="6"/>
    </row>
    <row r="33" spans="1:13" ht="14" x14ac:dyDescent="0.3">
      <c r="A33" s="35" t="s">
        <v>50</v>
      </c>
      <c r="B33" s="98">
        <v>366.62</v>
      </c>
      <c r="C33" s="98">
        <v>301.88</v>
      </c>
      <c r="D33" s="98">
        <v>211.25</v>
      </c>
      <c r="E33" s="113" t="s">
        <v>10</v>
      </c>
      <c r="F33" s="98">
        <v>327.24</v>
      </c>
      <c r="G33" s="98">
        <v>239.38</v>
      </c>
      <c r="I33" s="6"/>
      <c r="J33" s="6"/>
      <c r="K33" s="6"/>
      <c r="L33" s="6"/>
      <c r="M33" s="6"/>
    </row>
    <row r="34" spans="1:13" ht="14" x14ac:dyDescent="0.3">
      <c r="A34" s="34" t="s">
        <v>51</v>
      </c>
      <c r="B34" s="104">
        <v>387.83</v>
      </c>
      <c r="C34" s="104">
        <v>365.63</v>
      </c>
      <c r="D34" s="104">
        <v>213.13</v>
      </c>
      <c r="E34" s="115" t="s">
        <v>10</v>
      </c>
      <c r="F34" s="104">
        <v>297.64999999999998</v>
      </c>
      <c r="G34" s="104">
        <v>253.75</v>
      </c>
      <c r="I34" s="6"/>
      <c r="J34" s="6"/>
      <c r="K34" s="6"/>
      <c r="L34" s="6"/>
      <c r="M34" s="6"/>
    </row>
    <row r="35" spans="1:13" ht="16.5" x14ac:dyDescent="0.3">
      <c r="A35" s="75" t="s">
        <v>140</v>
      </c>
      <c r="B35" s="116"/>
      <c r="C35" s="116"/>
      <c r="D35" s="116"/>
      <c r="E35" s="116"/>
      <c r="F35" s="116"/>
      <c r="G35" s="116"/>
      <c r="I35" s="11"/>
      <c r="J35" s="6"/>
      <c r="K35" s="6"/>
      <c r="L35" s="6"/>
      <c r="M35" s="6"/>
    </row>
    <row r="36" spans="1:13" ht="16.5" x14ac:dyDescent="0.3">
      <c r="A36" s="75" t="s">
        <v>136</v>
      </c>
      <c r="B36" s="117"/>
      <c r="C36" s="117"/>
      <c r="D36" s="117"/>
      <c r="E36" s="117"/>
      <c r="F36" s="117"/>
      <c r="G36" s="117"/>
      <c r="I36" s="11"/>
      <c r="J36" s="6"/>
      <c r="K36" s="6"/>
      <c r="L36" s="6"/>
      <c r="M36" s="6"/>
    </row>
    <row r="37" spans="1:13" ht="14" x14ac:dyDescent="0.3">
      <c r="A37" s="35" t="s">
        <v>49</v>
      </c>
      <c r="B37" s="117"/>
      <c r="C37" s="117"/>
      <c r="D37" s="117"/>
      <c r="E37" s="117"/>
      <c r="F37" s="117"/>
      <c r="G37" s="117"/>
      <c r="H37" s="1"/>
      <c r="I37" s="11"/>
      <c r="J37" s="6"/>
      <c r="K37" s="6"/>
      <c r="L37" s="6"/>
      <c r="M37" s="6"/>
    </row>
    <row r="38" spans="1:13" ht="14.5" x14ac:dyDescent="0.35">
      <c r="A38" s="35" t="s">
        <v>137</v>
      </c>
      <c r="B38" s="35"/>
      <c r="C38" s="35"/>
      <c r="D38" s="35"/>
      <c r="E38" s="35"/>
      <c r="F38" s="117"/>
      <c r="G38" s="117"/>
      <c r="I38" s="11"/>
      <c r="J38" s="6"/>
      <c r="K38" s="6"/>
      <c r="L38" s="6"/>
      <c r="M38" s="6"/>
    </row>
    <row r="39" spans="1:13" ht="14" x14ac:dyDescent="0.3">
      <c r="A39" s="39" t="s">
        <v>20</v>
      </c>
      <c r="B39" s="67">
        <f ca="1">NOW()</f>
        <v>44176.610964814812</v>
      </c>
      <c r="C39" s="35"/>
      <c r="D39" s="35"/>
      <c r="E39" s="35"/>
      <c r="F39" s="117"/>
      <c r="G39" s="117"/>
      <c r="I39" s="12"/>
      <c r="J39" s="8"/>
      <c r="K39" s="8"/>
      <c r="L39" s="8"/>
      <c r="M39" s="8"/>
    </row>
    <row r="40" spans="1:13" ht="14" x14ac:dyDescent="0.3">
      <c r="F40" s="117"/>
      <c r="G40" s="117"/>
      <c r="I40" s="12"/>
      <c r="J40" s="8"/>
      <c r="K40" s="8"/>
      <c r="L40" s="8"/>
      <c r="M40" s="8"/>
    </row>
    <row r="41" spans="1:13" ht="14" x14ac:dyDescent="0.3">
      <c r="F41" s="117"/>
      <c r="G41" s="117"/>
      <c r="I41" s="11"/>
      <c r="J41" s="11"/>
      <c r="K41" s="6"/>
      <c r="L41" s="6"/>
      <c r="M41" s="6"/>
    </row>
    <row r="42" spans="1:13" x14ac:dyDescent="0.25">
      <c r="I42" s="11"/>
      <c r="J42" s="11"/>
      <c r="K42" s="6"/>
      <c r="L42" s="6"/>
      <c r="M42" s="6"/>
    </row>
    <row r="43" spans="1:13" x14ac:dyDescent="0.25">
      <c r="I43" s="11"/>
      <c r="J43" s="11"/>
      <c r="K43" s="6"/>
      <c r="L43" s="6"/>
      <c r="M43" s="6"/>
    </row>
    <row r="44" spans="1:13" x14ac:dyDescent="0.25">
      <c r="I44" s="11"/>
      <c r="J44" s="11"/>
      <c r="K44" s="6"/>
      <c r="L44" s="6"/>
      <c r="M44" s="6"/>
    </row>
    <row r="45" spans="1:13" x14ac:dyDescent="0.25">
      <c r="I45" s="11"/>
      <c r="J45" s="11"/>
      <c r="K45" s="6"/>
      <c r="L45" s="6"/>
      <c r="M45" s="6"/>
    </row>
    <row r="46" spans="1:13" x14ac:dyDescent="0.25">
      <c r="I46" s="11"/>
      <c r="J46" s="11"/>
      <c r="K46" s="6"/>
      <c r="L46" s="6"/>
      <c r="M46" s="6"/>
    </row>
    <row r="48" spans="1:13" x14ac:dyDescent="0.25">
      <c r="I48" s="9"/>
      <c r="J48" s="9"/>
      <c r="K48" s="9"/>
      <c r="L48" s="9"/>
      <c r="M48" s="9"/>
    </row>
    <row r="49" spans="9:13" x14ac:dyDescent="0.25">
      <c r="I49" s="9"/>
      <c r="J49" s="9"/>
      <c r="K49" s="9"/>
      <c r="L49" s="9"/>
      <c r="M49" s="9"/>
    </row>
    <row r="50" spans="9:13" x14ac:dyDescent="0.25">
      <c r="J50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7"/>
  <sheetViews>
    <sheetView workbookViewId="0">
      <selection activeCell="A3" sqref="A3"/>
    </sheetView>
  </sheetViews>
  <sheetFormatPr defaultRowHeight="15.5" x14ac:dyDescent="0.35"/>
  <cols>
    <col min="1" max="1" width="17" style="35" customWidth="1"/>
    <col min="2" max="2" width="10.7265625" style="158" customWidth="1"/>
    <col min="3" max="6" width="10.7265625" style="147" customWidth="1"/>
    <col min="7" max="7" width="10.7265625" style="1" customWidth="1"/>
    <col min="9" max="9" width="10.7265625" style="16" bestFit="1" customWidth="1"/>
  </cols>
  <sheetData>
    <row r="1" spans="1:15" x14ac:dyDescent="0.35">
      <c r="A1" s="35" t="s">
        <v>182</v>
      </c>
      <c r="D1" s="129"/>
      <c r="E1" s="129"/>
      <c r="F1" s="129"/>
      <c r="H1" s="129"/>
      <c r="I1" s="120"/>
      <c r="L1" s="10"/>
      <c r="M1" s="18"/>
    </row>
    <row r="2" spans="1:15" x14ac:dyDescent="0.35">
      <c r="A2" s="35" t="s">
        <v>183</v>
      </c>
      <c r="C2" s="155"/>
      <c r="D2" s="129"/>
      <c r="E2" s="129"/>
      <c r="F2" s="129"/>
      <c r="I2" s="35"/>
    </row>
    <row r="3" spans="1:15" x14ac:dyDescent="0.35">
      <c r="B3" s="158" t="s">
        <v>184</v>
      </c>
      <c r="D3" s="35"/>
      <c r="F3" s="35"/>
      <c r="H3" s="129"/>
      <c r="I3"/>
    </row>
    <row r="4" spans="1:15" x14ac:dyDescent="0.35">
      <c r="A4" s="157">
        <v>41913</v>
      </c>
      <c r="B4" s="158">
        <v>381.5</v>
      </c>
      <c r="C4" s="158"/>
      <c r="D4" s="159"/>
      <c r="E4" s="50"/>
      <c r="F4" s="50"/>
      <c r="H4" s="137"/>
      <c r="I4" s="124"/>
      <c r="L4" s="126"/>
      <c r="M4" s="127"/>
    </row>
    <row r="5" spans="1:15" x14ac:dyDescent="0.35">
      <c r="A5" s="157">
        <v>41944</v>
      </c>
      <c r="B5" s="158">
        <v>441.39</v>
      </c>
      <c r="C5" s="158"/>
      <c r="D5" s="158"/>
      <c r="E5" s="159"/>
      <c r="F5" s="50"/>
      <c r="H5" s="137"/>
      <c r="I5" s="124"/>
      <c r="L5" s="126"/>
      <c r="M5" s="127"/>
    </row>
    <row r="6" spans="1:15" x14ac:dyDescent="0.35">
      <c r="A6" s="157">
        <v>41974</v>
      </c>
      <c r="B6" s="158">
        <v>431.73</v>
      </c>
      <c r="C6" s="158"/>
      <c r="D6" s="158"/>
      <c r="E6" s="158"/>
      <c r="F6" s="50"/>
      <c r="H6" s="137"/>
      <c r="I6" s="124"/>
      <c r="L6" s="126"/>
      <c r="M6" s="127"/>
    </row>
    <row r="7" spans="1:15" x14ac:dyDescent="0.35">
      <c r="A7" s="157">
        <v>42005</v>
      </c>
      <c r="B7" s="158">
        <v>380.03</v>
      </c>
      <c r="C7" s="158"/>
      <c r="D7" s="158"/>
      <c r="E7" s="158"/>
      <c r="F7" s="50"/>
      <c r="H7" s="137"/>
      <c r="I7" s="124"/>
      <c r="L7" s="126"/>
      <c r="M7" s="127"/>
    </row>
    <row r="8" spans="1:15" x14ac:dyDescent="0.35">
      <c r="A8" s="157">
        <v>42036</v>
      </c>
      <c r="B8" s="158">
        <v>370.38</v>
      </c>
      <c r="C8" s="158"/>
      <c r="D8" s="158"/>
      <c r="E8" s="158"/>
      <c r="F8" s="50"/>
      <c r="H8" s="137"/>
      <c r="I8" s="124"/>
      <c r="L8" s="126"/>
      <c r="M8" s="127"/>
    </row>
    <row r="9" spans="1:15" x14ac:dyDescent="0.35">
      <c r="A9" s="157">
        <v>42064</v>
      </c>
      <c r="B9" s="158">
        <v>357.83</v>
      </c>
      <c r="C9" s="158"/>
      <c r="D9" s="158"/>
      <c r="E9" s="158"/>
      <c r="F9" s="50"/>
      <c r="H9" s="137"/>
      <c r="I9" s="124"/>
      <c r="K9" s="127"/>
      <c r="L9" s="126"/>
      <c r="M9" s="127"/>
    </row>
    <row r="10" spans="1:15" x14ac:dyDescent="0.35">
      <c r="A10" s="157">
        <v>42095</v>
      </c>
      <c r="B10" s="158">
        <v>336.61</v>
      </c>
      <c r="C10" s="154"/>
      <c r="D10" s="154"/>
      <c r="E10" s="153"/>
      <c r="H10" s="137"/>
      <c r="I10" s="124"/>
      <c r="K10" s="127"/>
      <c r="L10" s="126"/>
      <c r="M10" s="127"/>
    </row>
    <row r="11" spans="1:15" x14ac:dyDescent="0.35">
      <c r="A11" s="157">
        <v>42125</v>
      </c>
      <c r="B11" s="158">
        <v>320.23</v>
      </c>
      <c r="C11" s="154"/>
      <c r="D11" s="154"/>
      <c r="E11" s="153"/>
      <c r="H11" s="137"/>
      <c r="I11" s="124"/>
      <c r="K11" s="127"/>
      <c r="L11" s="126"/>
    </row>
    <row r="12" spans="1:15" x14ac:dyDescent="0.35">
      <c r="A12" s="157">
        <v>42156</v>
      </c>
      <c r="B12" s="158">
        <v>335.03</v>
      </c>
      <c r="C12" s="154"/>
      <c r="D12" s="154"/>
      <c r="E12" s="153"/>
      <c r="H12" s="137"/>
      <c r="I12" s="124"/>
      <c r="K12" s="127"/>
      <c r="L12" s="126"/>
    </row>
    <row r="13" spans="1:15" x14ac:dyDescent="0.35">
      <c r="A13" s="157">
        <v>42186</v>
      </c>
      <c r="B13" s="158">
        <v>375.71</v>
      </c>
      <c r="C13" s="154"/>
      <c r="D13" s="154"/>
      <c r="E13" s="153"/>
      <c r="H13" s="137"/>
      <c r="I13" s="124"/>
      <c r="K13" s="127"/>
      <c r="L13" s="126"/>
    </row>
    <row r="14" spans="1:15" x14ac:dyDescent="0.35">
      <c r="A14" s="157">
        <v>42217</v>
      </c>
      <c r="B14" s="158">
        <v>357.85</v>
      </c>
      <c r="C14" s="154"/>
      <c r="D14" s="154"/>
      <c r="E14" s="153"/>
      <c r="H14" s="137"/>
      <c r="I14" s="124"/>
      <c r="K14" s="127"/>
      <c r="L14" s="126"/>
    </row>
    <row r="15" spans="1:15" x14ac:dyDescent="0.35">
      <c r="A15" s="157">
        <v>42248</v>
      </c>
      <c r="B15" s="158">
        <v>333.62</v>
      </c>
      <c r="C15" s="154"/>
      <c r="D15" s="154"/>
      <c r="E15" s="153"/>
      <c r="H15" s="137"/>
      <c r="I15" s="127"/>
      <c r="K15" s="127"/>
    </row>
    <row r="16" spans="1:15" x14ac:dyDescent="0.35">
      <c r="A16" s="157">
        <v>42278</v>
      </c>
      <c r="B16" s="158">
        <v>327.97</v>
      </c>
      <c r="C16" s="154"/>
      <c r="D16" s="154"/>
      <c r="E16" s="153"/>
      <c r="H16" s="125"/>
      <c r="I16" s="127"/>
      <c r="M16" s="124"/>
      <c r="N16" s="124"/>
      <c r="O16" s="124"/>
    </row>
    <row r="17" spans="1:14" x14ac:dyDescent="0.35">
      <c r="A17" s="157">
        <v>42309</v>
      </c>
      <c r="B17" s="158">
        <v>308.60000000000002</v>
      </c>
      <c r="C17" s="151"/>
      <c r="D17" s="151"/>
      <c r="E17" s="151"/>
      <c r="F17" s="151"/>
      <c r="G17" s="151"/>
      <c r="H17" s="125"/>
      <c r="I17" s="127"/>
      <c r="M17" s="13"/>
      <c r="N17" s="13"/>
    </row>
    <row r="18" spans="1:14" x14ac:dyDescent="0.35">
      <c r="A18" s="157">
        <v>42339</v>
      </c>
      <c r="B18" s="158">
        <v>289.77999999999997</v>
      </c>
      <c r="C18" s="151"/>
      <c r="D18" s="151"/>
      <c r="E18" s="151"/>
      <c r="F18" s="151"/>
      <c r="G18" s="151"/>
      <c r="H18" s="125"/>
      <c r="I18" s="127"/>
      <c r="K18" s="126"/>
      <c r="L18" s="126"/>
      <c r="M18" s="13"/>
      <c r="N18" s="13"/>
    </row>
    <row r="19" spans="1:14" x14ac:dyDescent="0.35">
      <c r="A19" s="157">
        <v>42370</v>
      </c>
      <c r="B19" s="158">
        <v>279.56</v>
      </c>
      <c r="C19" s="151"/>
      <c r="D19" s="151"/>
      <c r="E19" s="151"/>
      <c r="F19" s="151"/>
      <c r="G19" s="151"/>
      <c r="H19" s="125"/>
      <c r="I19" s="127"/>
      <c r="K19" s="9"/>
      <c r="L19" s="126"/>
      <c r="M19" s="13"/>
      <c r="N19" s="13"/>
    </row>
    <row r="20" spans="1:14" x14ac:dyDescent="0.35">
      <c r="A20" s="157">
        <v>42401</v>
      </c>
      <c r="B20" s="158">
        <v>273.61</v>
      </c>
      <c r="C20" s="151"/>
      <c r="D20" s="151"/>
      <c r="E20" s="151"/>
      <c r="F20" s="151"/>
      <c r="G20" s="151"/>
      <c r="H20" s="125"/>
      <c r="I20" s="127"/>
      <c r="K20" s="9"/>
      <c r="L20" s="126"/>
      <c r="M20" s="13"/>
      <c r="N20" s="13"/>
    </row>
    <row r="21" spans="1:14" x14ac:dyDescent="0.35">
      <c r="A21" s="157">
        <v>42430</v>
      </c>
      <c r="B21" s="158">
        <v>276.22000000000003</v>
      </c>
      <c r="C21" s="151"/>
      <c r="D21" s="151"/>
      <c r="E21" s="151"/>
      <c r="F21" s="151"/>
      <c r="G21" s="151"/>
      <c r="H21" s="125"/>
      <c r="I21" s="127"/>
      <c r="K21" s="9"/>
      <c r="L21" s="126"/>
      <c r="M21" s="13"/>
      <c r="N21" s="13"/>
    </row>
    <row r="22" spans="1:14" x14ac:dyDescent="0.35">
      <c r="A22" s="157">
        <v>42461</v>
      </c>
      <c r="B22" s="158">
        <v>303.81</v>
      </c>
      <c r="C22" s="151"/>
      <c r="D22" s="151"/>
      <c r="E22" s="151"/>
      <c r="F22" s="151"/>
      <c r="G22" s="151"/>
      <c r="H22" s="125"/>
      <c r="I22" s="127"/>
      <c r="K22" s="9"/>
      <c r="L22" s="126"/>
      <c r="M22" s="13"/>
      <c r="N22" s="13"/>
    </row>
    <row r="23" spans="1:14" x14ac:dyDescent="0.35">
      <c r="A23" s="157">
        <v>42491</v>
      </c>
      <c r="B23" s="158">
        <v>376.35</v>
      </c>
      <c r="C23" s="151"/>
      <c r="D23" s="151"/>
      <c r="E23" s="151"/>
      <c r="F23" s="151"/>
      <c r="G23" s="151"/>
      <c r="H23" s="125"/>
      <c r="I23" s="9"/>
      <c r="K23" s="9"/>
      <c r="L23" s="126"/>
      <c r="M23" s="13"/>
      <c r="N23" s="13"/>
    </row>
    <row r="24" spans="1:14" x14ac:dyDescent="0.35">
      <c r="A24" s="157">
        <v>42522</v>
      </c>
      <c r="B24" s="158">
        <v>408.57</v>
      </c>
      <c r="C24" s="151"/>
      <c r="D24" s="151"/>
      <c r="E24" s="151"/>
      <c r="F24" s="151"/>
      <c r="G24" s="151"/>
      <c r="H24" s="125"/>
      <c r="I24" s="9"/>
      <c r="K24" s="9"/>
      <c r="L24" s="126"/>
      <c r="M24" s="13"/>
      <c r="N24" s="13"/>
    </row>
    <row r="25" spans="1:14" x14ac:dyDescent="0.35">
      <c r="A25" s="157">
        <v>42552</v>
      </c>
      <c r="B25" s="158">
        <v>371.49</v>
      </c>
      <c r="C25" s="151"/>
      <c r="D25" s="151"/>
      <c r="E25" s="151"/>
      <c r="F25" s="151"/>
      <c r="G25" s="151"/>
      <c r="H25" s="125"/>
      <c r="I25" s="9"/>
      <c r="K25" s="9"/>
      <c r="L25" s="126"/>
      <c r="M25" s="13"/>
      <c r="N25" s="13"/>
    </row>
    <row r="26" spans="1:14" x14ac:dyDescent="0.35">
      <c r="A26" s="157">
        <v>42583</v>
      </c>
      <c r="B26" s="158">
        <v>340.8</v>
      </c>
      <c r="C26" s="151"/>
      <c r="D26" s="151"/>
      <c r="E26" s="151"/>
      <c r="F26" s="151"/>
      <c r="G26" s="151"/>
      <c r="H26" s="125"/>
      <c r="I26" s="9"/>
      <c r="K26" s="9"/>
      <c r="L26" s="126"/>
      <c r="M26" s="13"/>
      <c r="N26" s="13"/>
    </row>
    <row r="27" spans="1:14" x14ac:dyDescent="0.35">
      <c r="A27" s="157">
        <v>42614</v>
      </c>
      <c r="B27" s="158">
        <v>337.95</v>
      </c>
      <c r="C27" s="151"/>
      <c r="D27" s="151"/>
      <c r="E27" s="151"/>
      <c r="F27" s="151"/>
      <c r="G27" s="151"/>
      <c r="H27" s="125"/>
      <c r="I27" s="9"/>
      <c r="K27" s="9"/>
      <c r="L27" s="126"/>
      <c r="M27" s="13"/>
      <c r="N27" s="13"/>
    </row>
    <row r="28" spans="1:14" x14ac:dyDescent="0.35">
      <c r="A28" s="157">
        <v>42644</v>
      </c>
      <c r="B28" s="158">
        <v>323.27</v>
      </c>
      <c r="C28" s="151"/>
      <c r="D28" s="151"/>
      <c r="E28" s="151"/>
      <c r="F28" s="151"/>
      <c r="G28" s="151"/>
      <c r="H28" s="125"/>
      <c r="I28" s="9"/>
      <c r="K28" s="9"/>
      <c r="L28" s="126"/>
      <c r="M28" s="13"/>
      <c r="N28" s="13"/>
    </row>
    <row r="29" spans="1:14" x14ac:dyDescent="0.35">
      <c r="A29" s="157">
        <v>42675</v>
      </c>
      <c r="B29" s="158">
        <v>322.41000000000003</v>
      </c>
      <c r="C29" s="151"/>
      <c r="D29" s="151"/>
      <c r="E29" s="151"/>
      <c r="F29" s="151"/>
      <c r="G29" s="151"/>
      <c r="H29" s="125"/>
      <c r="I29" s="9"/>
      <c r="K29" s="9"/>
      <c r="L29" s="126"/>
    </row>
    <row r="30" spans="1:14" x14ac:dyDescent="0.35">
      <c r="A30" s="157">
        <v>42705</v>
      </c>
      <c r="B30" s="158">
        <v>321.02</v>
      </c>
      <c r="G30" s="141"/>
      <c r="H30" s="9"/>
      <c r="I30" s="9"/>
      <c r="K30" s="9"/>
      <c r="L30" s="126"/>
    </row>
    <row r="31" spans="1:14" x14ac:dyDescent="0.35">
      <c r="A31" s="157">
        <v>42736</v>
      </c>
      <c r="B31" s="158">
        <v>332.34</v>
      </c>
      <c r="G31" s="141"/>
      <c r="H31" s="126"/>
      <c r="I31" s="126"/>
      <c r="K31" s="126"/>
      <c r="L31" s="126"/>
    </row>
    <row r="32" spans="1:14" x14ac:dyDescent="0.35">
      <c r="A32" s="157">
        <v>42767</v>
      </c>
      <c r="B32" s="158">
        <v>334.42</v>
      </c>
      <c r="G32" s="141"/>
      <c r="H32" s="126"/>
      <c r="I32" s="126"/>
      <c r="K32" s="126"/>
      <c r="L32" s="126"/>
    </row>
    <row r="33" spans="1:12" x14ac:dyDescent="0.35">
      <c r="A33" s="157">
        <v>42795</v>
      </c>
      <c r="B33" s="158">
        <v>320.33999999999997</v>
      </c>
      <c r="G33" s="141"/>
      <c r="H33" s="126"/>
      <c r="I33" s="126"/>
      <c r="K33" s="126"/>
      <c r="L33" s="126"/>
    </row>
    <row r="34" spans="1:12" x14ac:dyDescent="0.35">
      <c r="A34" s="157">
        <v>42826</v>
      </c>
      <c r="B34" s="158">
        <v>305.67</v>
      </c>
      <c r="G34" s="141"/>
      <c r="H34" s="13"/>
      <c r="I34" s="13"/>
      <c r="K34" s="13"/>
    </row>
    <row r="35" spans="1:12" x14ac:dyDescent="0.35">
      <c r="A35" s="157">
        <v>42856</v>
      </c>
      <c r="B35" s="158">
        <v>307.63</v>
      </c>
      <c r="G35" s="141"/>
      <c r="H35" s="13"/>
      <c r="I35" s="13"/>
      <c r="K35" s="13"/>
    </row>
    <row r="36" spans="1:12" x14ac:dyDescent="0.35">
      <c r="A36" s="157">
        <v>42887</v>
      </c>
      <c r="B36" s="158">
        <v>300.72000000000003</v>
      </c>
      <c r="G36" s="141"/>
      <c r="H36" s="13"/>
      <c r="I36" s="13"/>
      <c r="K36" s="13"/>
    </row>
    <row r="37" spans="1:12" x14ac:dyDescent="0.35">
      <c r="A37" s="157">
        <v>42917</v>
      </c>
      <c r="B37" s="158">
        <v>326.04000000000002</v>
      </c>
      <c r="G37" s="141"/>
      <c r="H37" s="13"/>
      <c r="I37" s="13"/>
      <c r="K37" s="13"/>
    </row>
    <row r="38" spans="1:12" x14ac:dyDescent="0.35">
      <c r="A38" s="157">
        <v>42948</v>
      </c>
      <c r="B38" s="158">
        <v>301.05</v>
      </c>
      <c r="G38" s="141"/>
      <c r="H38" s="13"/>
      <c r="I38" s="13"/>
      <c r="K38" s="13"/>
    </row>
    <row r="39" spans="1:12" x14ac:dyDescent="0.35">
      <c r="A39" s="157">
        <v>42979</v>
      </c>
      <c r="B39" s="158">
        <v>307.7</v>
      </c>
      <c r="G39" s="141"/>
      <c r="H39" s="13"/>
      <c r="I39" s="13"/>
      <c r="K39" s="13"/>
    </row>
    <row r="40" spans="1:12" x14ac:dyDescent="0.35">
      <c r="A40" s="157">
        <v>43009</v>
      </c>
      <c r="B40" s="158">
        <v>315.23</v>
      </c>
      <c r="G40" s="141"/>
      <c r="H40" s="13"/>
      <c r="I40" s="13"/>
      <c r="K40" s="13"/>
    </row>
    <row r="41" spans="1:12" x14ac:dyDescent="0.35">
      <c r="A41" s="157">
        <v>43040</v>
      </c>
      <c r="B41" s="158">
        <v>313.52</v>
      </c>
      <c r="G41" s="141"/>
      <c r="H41" s="13"/>
      <c r="I41" s="13"/>
      <c r="K41" s="13"/>
    </row>
    <row r="42" spans="1:12" x14ac:dyDescent="0.35">
      <c r="A42" s="157">
        <v>43070</v>
      </c>
      <c r="B42" s="158">
        <v>319.22000000000003</v>
      </c>
      <c r="G42" s="141"/>
      <c r="H42" s="13"/>
      <c r="I42" s="13"/>
      <c r="K42" s="13"/>
    </row>
    <row r="43" spans="1:12" x14ac:dyDescent="0.35">
      <c r="A43" s="157">
        <v>43101</v>
      </c>
      <c r="B43" s="158">
        <v>322.60000000000002</v>
      </c>
      <c r="G43" s="141"/>
      <c r="H43" s="13"/>
      <c r="I43" s="13"/>
      <c r="K43" s="13"/>
    </row>
    <row r="44" spans="1:12" x14ac:dyDescent="0.35">
      <c r="A44" s="157">
        <v>43132</v>
      </c>
      <c r="B44" s="158">
        <v>362.85</v>
      </c>
      <c r="G44" s="118"/>
      <c r="I44" s="118"/>
    </row>
    <row r="45" spans="1:12" x14ac:dyDescent="0.35">
      <c r="A45" s="157">
        <v>43160</v>
      </c>
      <c r="B45" s="158">
        <v>379.85</v>
      </c>
      <c r="G45" s="118"/>
      <c r="I45" s="118"/>
    </row>
    <row r="46" spans="1:12" x14ac:dyDescent="0.35">
      <c r="A46" s="157">
        <v>43191</v>
      </c>
      <c r="B46" s="158">
        <v>385.84</v>
      </c>
      <c r="G46" s="118"/>
      <c r="I46" s="118"/>
    </row>
    <row r="47" spans="1:12" x14ac:dyDescent="0.35">
      <c r="A47" s="157">
        <v>43221</v>
      </c>
      <c r="B47" s="158">
        <v>393.55</v>
      </c>
      <c r="G47" s="118"/>
      <c r="I47" s="118"/>
    </row>
    <row r="48" spans="1:12" x14ac:dyDescent="0.35">
      <c r="A48" s="157">
        <v>43252</v>
      </c>
      <c r="B48" s="158">
        <v>355.71</v>
      </c>
      <c r="G48" s="118"/>
      <c r="I48" s="118"/>
    </row>
    <row r="49" spans="1:9" x14ac:dyDescent="0.35">
      <c r="A49" s="157">
        <v>43282</v>
      </c>
      <c r="B49" s="158">
        <v>341.08</v>
      </c>
      <c r="G49" s="118"/>
      <c r="I49" s="118"/>
    </row>
    <row r="50" spans="1:9" x14ac:dyDescent="0.35">
      <c r="A50" s="157">
        <v>43313</v>
      </c>
      <c r="B50" s="158">
        <v>332.5</v>
      </c>
      <c r="G50" s="118"/>
      <c r="I50" s="118"/>
    </row>
    <row r="51" spans="1:9" x14ac:dyDescent="0.35">
      <c r="A51" s="157">
        <v>43344</v>
      </c>
      <c r="B51" s="158">
        <v>318.32</v>
      </c>
      <c r="G51" s="118"/>
      <c r="I51" s="118"/>
    </row>
    <row r="52" spans="1:9" x14ac:dyDescent="0.35">
      <c r="A52" s="157">
        <v>43374</v>
      </c>
      <c r="B52" s="158">
        <v>319.14999999999998</v>
      </c>
      <c r="G52" s="118"/>
      <c r="I52" s="118"/>
    </row>
    <row r="53" spans="1:9" x14ac:dyDescent="0.35">
      <c r="A53" s="157">
        <v>43405</v>
      </c>
      <c r="B53" s="158">
        <v>310.62</v>
      </c>
      <c r="G53" s="118"/>
      <c r="I53" s="118"/>
    </row>
    <row r="54" spans="1:9" x14ac:dyDescent="0.35">
      <c r="A54" s="157">
        <v>43435</v>
      </c>
      <c r="B54" s="158">
        <v>311.7</v>
      </c>
      <c r="G54" s="118"/>
      <c r="I54" s="118"/>
    </row>
    <row r="55" spans="1:9" x14ac:dyDescent="0.35">
      <c r="A55" s="157">
        <v>43466</v>
      </c>
      <c r="B55" s="158">
        <v>314.92</v>
      </c>
      <c r="G55" s="118"/>
      <c r="I55" s="118"/>
    </row>
    <row r="56" spans="1:9" x14ac:dyDescent="0.35">
      <c r="A56" s="157">
        <v>43497</v>
      </c>
      <c r="B56" s="158">
        <v>306.83</v>
      </c>
      <c r="G56" s="118"/>
      <c r="I56" s="118"/>
    </row>
    <row r="57" spans="1:9" x14ac:dyDescent="0.35">
      <c r="A57" s="157">
        <v>43525</v>
      </c>
      <c r="B57" s="158">
        <v>306.38</v>
      </c>
      <c r="G57" s="118"/>
      <c r="I57" s="118"/>
    </row>
    <row r="58" spans="1:9" x14ac:dyDescent="0.35">
      <c r="A58" s="157">
        <v>43556</v>
      </c>
      <c r="B58" s="158">
        <v>304.26</v>
      </c>
      <c r="G58" s="118"/>
      <c r="I58" s="118"/>
    </row>
    <row r="59" spans="1:9" x14ac:dyDescent="0.35">
      <c r="A59" s="157">
        <v>43586</v>
      </c>
      <c r="B59" s="158">
        <v>297.52</v>
      </c>
      <c r="G59" s="118"/>
      <c r="I59" s="118"/>
    </row>
    <row r="60" spans="1:9" x14ac:dyDescent="0.35">
      <c r="A60" s="157">
        <v>43617</v>
      </c>
      <c r="B60" s="158">
        <v>324.75</v>
      </c>
      <c r="G60" s="118"/>
      <c r="I60" s="118"/>
    </row>
    <row r="61" spans="1:9" x14ac:dyDescent="0.35">
      <c r="A61" s="157">
        <v>43647</v>
      </c>
      <c r="B61" s="158">
        <v>310.77</v>
      </c>
      <c r="G61" s="118"/>
      <c r="I61" s="118"/>
    </row>
    <row r="62" spans="1:9" x14ac:dyDescent="0.35">
      <c r="A62" s="157">
        <v>43678</v>
      </c>
      <c r="B62" s="158">
        <v>296.92</v>
      </c>
      <c r="G62" s="118"/>
      <c r="I62" s="118"/>
    </row>
    <row r="63" spans="1:9" x14ac:dyDescent="0.35">
      <c r="A63" s="157">
        <v>43709</v>
      </c>
      <c r="B63" s="158">
        <v>295.57</v>
      </c>
      <c r="G63" s="118"/>
      <c r="I63" s="118"/>
    </row>
    <row r="64" spans="1:9" x14ac:dyDescent="0.35">
      <c r="A64" s="157">
        <v>43739</v>
      </c>
      <c r="B64" s="158">
        <v>309.48</v>
      </c>
      <c r="G64" s="118"/>
      <c r="I64" s="118"/>
    </row>
    <row r="65" spans="1:9" x14ac:dyDescent="0.35">
      <c r="A65" s="157">
        <v>43770</v>
      </c>
      <c r="B65" s="158">
        <v>303.13</v>
      </c>
      <c r="G65" s="118"/>
      <c r="I65" s="118"/>
    </row>
    <row r="66" spans="1:9" x14ac:dyDescent="0.35">
      <c r="A66" s="157">
        <v>43800</v>
      </c>
      <c r="B66" s="158">
        <v>299.58999999999997</v>
      </c>
      <c r="G66" s="118"/>
      <c r="I66" s="118"/>
    </row>
    <row r="67" spans="1:9" x14ac:dyDescent="0.35">
      <c r="A67" s="157">
        <v>43831</v>
      </c>
      <c r="B67" s="158">
        <v>300.11</v>
      </c>
      <c r="G67" s="118"/>
      <c r="I67" s="118"/>
    </row>
    <row r="68" spans="1:9" x14ac:dyDescent="0.35">
      <c r="A68" s="157">
        <v>43862</v>
      </c>
      <c r="B68" s="158">
        <v>295.27999999999997</v>
      </c>
      <c r="G68" s="118"/>
      <c r="I68" s="118"/>
    </row>
    <row r="69" spans="1:9" x14ac:dyDescent="0.35">
      <c r="A69" s="157">
        <v>43891</v>
      </c>
      <c r="B69" s="158">
        <v>312.38</v>
      </c>
      <c r="G69" s="118"/>
      <c r="I69" s="118"/>
    </row>
    <row r="70" spans="1:9" x14ac:dyDescent="0.35">
      <c r="A70" s="157">
        <v>43922</v>
      </c>
      <c r="B70" s="158">
        <v>295.39999999999998</v>
      </c>
      <c r="G70" s="118"/>
      <c r="I70" s="118"/>
    </row>
    <row r="71" spans="1:9" x14ac:dyDescent="0.35">
      <c r="A71" s="157">
        <v>43952</v>
      </c>
      <c r="B71" s="158">
        <v>288.56</v>
      </c>
      <c r="G71" s="118"/>
      <c r="I71" s="118"/>
    </row>
    <row r="72" spans="1:9" x14ac:dyDescent="0.35">
      <c r="A72" s="157">
        <v>43983</v>
      </c>
      <c r="B72" s="158">
        <v>288.66000000000003</v>
      </c>
      <c r="G72" s="118"/>
      <c r="I72" s="118"/>
    </row>
    <row r="73" spans="1:9" x14ac:dyDescent="0.35">
      <c r="A73" s="157">
        <v>44013</v>
      </c>
      <c r="B73" s="158">
        <v>291.25</v>
      </c>
      <c r="G73" s="118"/>
      <c r="I73" s="118"/>
    </row>
    <row r="74" spans="1:9" x14ac:dyDescent="0.35">
      <c r="A74" s="157">
        <v>44044</v>
      </c>
      <c r="B74" s="158">
        <v>290.18</v>
      </c>
      <c r="G74" s="118"/>
      <c r="I74" s="118"/>
    </row>
    <row r="75" spans="1:9" x14ac:dyDescent="0.35">
      <c r="A75" s="157">
        <v>44075</v>
      </c>
      <c r="B75" s="158">
        <v>319.99</v>
      </c>
      <c r="G75" s="118"/>
      <c r="I75" s="118"/>
    </row>
    <row r="76" spans="1:9" x14ac:dyDescent="0.35">
      <c r="A76" s="157">
        <v>44105</v>
      </c>
      <c r="B76" s="158">
        <v>367.11</v>
      </c>
      <c r="G76" s="118"/>
      <c r="I76" s="118"/>
    </row>
    <row r="77" spans="1:9" x14ac:dyDescent="0.35">
      <c r="A77" s="157">
        <v>44136</v>
      </c>
      <c r="B77" s="158">
        <v>387.83</v>
      </c>
      <c r="G77" s="118"/>
      <c r="I77" s="118"/>
    </row>
    <row r="78" spans="1:9" x14ac:dyDescent="0.35">
      <c r="G78" s="118"/>
      <c r="I78" s="118"/>
    </row>
    <row r="79" spans="1:9" x14ac:dyDescent="0.35">
      <c r="G79" s="118"/>
      <c r="I79" s="118"/>
    </row>
    <row r="80" spans="1:9" x14ac:dyDescent="0.35">
      <c r="G80" s="118"/>
      <c r="I80" s="118"/>
    </row>
    <row r="81" spans="7:9" x14ac:dyDescent="0.35">
      <c r="G81" s="118"/>
      <c r="I81" s="118"/>
    </row>
    <row r="82" spans="7:9" x14ac:dyDescent="0.35">
      <c r="G82" s="118"/>
      <c r="I82" s="118"/>
    </row>
    <row r="83" spans="7:9" x14ac:dyDescent="0.35">
      <c r="G83" s="118"/>
      <c r="I83" s="118"/>
    </row>
    <row r="84" spans="7:9" x14ac:dyDescent="0.35">
      <c r="G84" s="118"/>
      <c r="I84" s="118"/>
    </row>
    <row r="85" spans="7:9" x14ac:dyDescent="0.35">
      <c r="G85" s="118"/>
      <c r="I85" s="118"/>
    </row>
    <row r="86" spans="7:9" x14ac:dyDescent="0.35">
      <c r="G86" s="118"/>
      <c r="I86" s="118"/>
    </row>
    <row r="87" spans="7:9" x14ac:dyDescent="0.35">
      <c r="G87" s="118"/>
      <c r="I87" s="118"/>
    </row>
    <row r="88" spans="7:9" x14ac:dyDescent="0.35">
      <c r="G88" s="118"/>
      <c r="I88" s="118"/>
    </row>
    <row r="89" spans="7:9" x14ac:dyDescent="0.35">
      <c r="G89" s="118"/>
      <c r="I89" s="118"/>
    </row>
    <row r="90" spans="7:9" x14ac:dyDescent="0.35">
      <c r="G90" s="118"/>
      <c r="I90" s="118"/>
    </row>
    <row r="91" spans="7:9" x14ac:dyDescent="0.35">
      <c r="G91" s="118"/>
      <c r="I91" s="118"/>
    </row>
    <row r="92" spans="7:9" x14ac:dyDescent="0.35">
      <c r="G92" s="118"/>
      <c r="I92" s="118"/>
    </row>
    <row r="93" spans="7:9" x14ac:dyDescent="0.35">
      <c r="G93" s="118"/>
      <c r="I93" s="118"/>
    </row>
    <row r="94" spans="7:9" x14ac:dyDescent="0.35">
      <c r="G94" s="118"/>
      <c r="I94" s="118"/>
    </row>
    <row r="95" spans="7:9" x14ac:dyDescent="0.35">
      <c r="G95" s="118"/>
      <c r="I95" s="118"/>
    </row>
    <row r="96" spans="7:9" x14ac:dyDescent="0.35">
      <c r="G96" s="118"/>
      <c r="I96" s="118"/>
    </row>
    <row r="97" spans="7:9" x14ac:dyDescent="0.35">
      <c r="G97" s="118"/>
      <c r="I97" s="118"/>
    </row>
    <row r="98" spans="7:9" x14ac:dyDescent="0.35">
      <c r="G98" s="118"/>
      <c r="I98" s="118"/>
    </row>
    <row r="99" spans="7:9" x14ac:dyDescent="0.35">
      <c r="G99" s="118"/>
      <c r="I99" s="118"/>
    </row>
    <row r="100" spans="7:9" x14ac:dyDescent="0.35">
      <c r="G100" s="118"/>
      <c r="I100" s="118"/>
    </row>
    <row r="101" spans="7:9" x14ac:dyDescent="0.35">
      <c r="G101" s="118"/>
      <c r="I101" s="118"/>
    </row>
    <row r="102" spans="7:9" x14ac:dyDescent="0.35">
      <c r="G102" s="118"/>
      <c r="I102" s="118"/>
    </row>
    <row r="103" spans="7:9" x14ac:dyDescent="0.35">
      <c r="G103" s="118"/>
      <c r="I103" s="118"/>
    </row>
    <row r="104" spans="7:9" x14ac:dyDescent="0.35">
      <c r="G104" s="118"/>
      <c r="I104" s="118"/>
    </row>
    <row r="105" spans="7:9" x14ac:dyDescent="0.35">
      <c r="G105" s="118"/>
      <c r="I105" s="118"/>
    </row>
    <row r="106" spans="7:9" x14ac:dyDescent="0.35">
      <c r="G106" s="118"/>
      <c r="I106" s="118"/>
    </row>
    <row r="107" spans="7:9" x14ac:dyDescent="0.35">
      <c r="G107" s="118"/>
      <c r="I107" s="118"/>
    </row>
    <row r="108" spans="7:9" x14ac:dyDescent="0.35">
      <c r="G108" s="118"/>
      <c r="I108" s="118"/>
    </row>
    <row r="109" spans="7:9" x14ac:dyDescent="0.35">
      <c r="G109" s="118"/>
      <c r="I109" s="118"/>
    </row>
    <row r="110" spans="7:9" x14ac:dyDescent="0.35">
      <c r="G110" s="118"/>
      <c r="I110" s="118"/>
    </row>
    <row r="111" spans="7:9" x14ac:dyDescent="0.35">
      <c r="G111" s="118"/>
      <c r="I111" s="118"/>
    </row>
    <row r="112" spans="7:9" x14ac:dyDescent="0.35">
      <c r="G112" s="118"/>
      <c r="I112" s="118"/>
    </row>
    <row r="113" spans="7:9" x14ac:dyDescent="0.35">
      <c r="G113" s="118"/>
      <c r="I113" s="118"/>
    </row>
    <row r="114" spans="7:9" x14ac:dyDescent="0.35">
      <c r="G114" s="118"/>
      <c r="I114" s="118"/>
    </row>
    <row r="115" spans="7:9" x14ac:dyDescent="0.35">
      <c r="G115" s="118"/>
      <c r="I115" s="118"/>
    </row>
    <row r="116" spans="7:9" x14ac:dyDescent="0.35">
      <c r="G116" s="118"/>
      <c r="I116" s="118"/>
    </row>
    <row r="117" spans="7:9" x14ac:dyDescent="0.35">
      <c r="G117" s="118"/>
      <c r="I117" s="118"/>
    </row>
    <row r="118" spans="7:9" x14ac:dyDescent="0.35">
      <c r="G118" s="118"/>
      <c r="I118" s="118"/>
    </row>
    <row r="119" spans="7:9" x14ac:dyDescent="0.35">
      <c r="G119" s="118"/>
      <c r="I119" s="118"/>
    </row>
    <row r="120" spans="7:9" x14ac:dyDescent="0.35">
      <c r="G120" s="118"/>
      <c r="I120" s="118"/>
    </row>
    <row r="121" spans="7:9" x14ac:dyDescent="0.35">
      <c r="G121" s="118"/>
      <c r="I121" s="118"/>
    </row>
    <row r="122" spans="7:9" x14ac:dyDescent="0.35">
      <c r="G122" s="118"/>
      <c r="I122" s="118"/>
    </row>
    <row r="123" spans="7:9" x14ac:dyDescent="0.35">
      <c r="G123" s="118"/>
      <c r="I123" s="118"/>
    </row>
    <row r="124" spans="7:9" x14ac:dyDescent="0.35">
      <c r="G124" s="118"/>
      <c r="I124" s="118"/>
    </row>
    <row r="125" spans="7:9" x14ac:dyDescent="0.35">
      <c r="G125" s="118"/>
      <c r="I125" s="118"/>
    </row>
    <row r="126" spans="7:9" x14ac:dyDescent="0.35">
      <c r="G126" s="118"/>
      <c r="I126" s="118"/>
    </row>
    <row r="127" spans="7:9" x14ac:dyDescent="0.35">
      <c r="G127" s="118"/>
      <c r="I127" s="118"/>
    </row>
    <row r="128" spans="7:9" x14ac:dyDescent="0.35">
      <c r="G128" s="118"/>
      <c r="I128" s="118"/>
    </row>
    <row r="129" spans="7:9" x14ac:dyDescent="0.35">
      <c r="G129" s="118"/>
      <c r="I129" s="118"/>
    </row>
    <row r="130" spans="7:9" x14ac:dyDescent="0.35">
      <c r="G130" s="118"/>
      <c r="I130" s="118"/>
    </row>
    <row r="131" spans="7:9" x14ac:dyDescent="0.35">
      <c r="G131" s="118"/>
    </row>
    <row r="132" spans="7:9" x14ac:dyDescent="0.35">
      <c r="G132" s="118"/>
      <c r="I132" s="118"/>
    </row>
    <row r="133" spans="7:9" x14ac:dyDescent="0.35">
      <c r="G133" s="118"/>
      <c r="I133" s="118"/>
    </row>
    <row r="134" spans="7:9" x14ac:dyDescent="0.35">
      <c r="G134" s="118"/>
      <c r="I134" s="118"/>
    </row>
    <row r="135" spans="7:9" x14ac:dyDescent="0.35">
      <c r="G135" s="118"/>
      <c r="I135" s="118"/>
    </row>
    <row r="136" spans="7:9" x14ac:dyDescent="0.35">
      <c r="G136" s="118"/>
      <c r="I136" s="118"/>
    </row>
    <row r="137" spans="7:9" x14ac:dyDescent="0.35">
      <c r="G137" s="118"/>
      <c r="I137" s="118"/>
    </row>
    <row r="138" spans="7:9" x14ac:dyDescent="0.35">
      <c r="G138" s="118"/>
      <c r="I138" s="118"/>
    </row>
    <row r="139" spans="7:9" x14ac:dyDescent="0.35">
      <c r="G139" s="118"/>
      <c r="I139" s="118"/>
    </row>
    <row r="140" spans="7:9" x14ac:dyDescent="0.35">
      <c r="G140" s="118"/>
      <c r="I140" s="118"/>
    </row>
    <row r="141" spans="7:9" x14ac:dyDescent="0.35">
      <c r="G141" s="118"/>
      <c r="I141" s="118"/>
    </row>
    <row r="142" spans="7:9" x14ac:dyDescent="0.35">
      <c r="G142" s="118"/>
      <c r="I142" s="118"/>
    </row>
    <row r="143" spans="7:9" x14ac:dyDescent="0.35">
      <c r="G143" s="118"/>
      <c r="I143" s="118"/>
    </row>
    <row r="144" spans="7:9" x14ac:dyDescent="0.35">
      <c r="G144" s="118"/>
      <c r="I144" s="118"/>
    </row>
    <row r="145" spans="7:9" x14ac:dyDescent="0.35">
      <c r="G145" s="118"/>
      <c r="I145" s="118"/>
    </row>
    <row r="146" spans="7:9" x14ac:dyDescent="0.35">
      <c r="G146" s="118"/>
      <c r="I146" s="118"/>
    </row>
    <row r="147" spans="7:9" x14ac:dyDescent="0.35">
      <c r="G147" s="118"/>
      <c r="I147" s="118"/>
    </row>
    <row r="148" spans="7:9" x14ac:dyDescent="0.35">
      <c r="G148" s="118"/>
      <c r="I148" s="118"/>
    </row>
    <row r="149" spans="7:9" x14ac:dyDescent="0.35">
      <c r="G149" s="118"/>
      <c r="I149" s="118"/>
    </row>
    <row r="150" spans="7:9" x14ac:dyDescent="0.35">
      <c r="G150" s="118"/>
      <c r="I150" s="118"/>
    </row>
    <row r="151" spans="7:9" x14ac:dyDescent="0.35">
      <c r="G151" s="118"/>
      <c r="I151" s="118"/>
    </row>
    <row r="152" spans="7:9" x14ac:dyDescent="0.35">
      <c r="G152" s="118"/>
      <c r="I152" s="118"/>
    </row>
    <row r="153" spans="7:9" x14ac:dyDescent="0.35">
      <c r="G153" s="118"/>
      <c r="I153" s="118"/>
    </row>
    <row r="154" spans="7:9" x14ac:dyDescent="0.35">
      <c r="G154" s="118"/>
      <c r="I154" s="118"/>
    </row>
    <row r="155" spans="7:9" x14ac:dyDescent="0.35">
      <c r="G155" s="118"/>
      <c r="I155" s="118"/>
    </row>
    <row r="156" spans="7:9" x14ac:dyDescent="0.35">
      <c r="G156" s="118"/>
      <c r="I156" s="118"/>
    </row>
    <row r="157" spans="7:9" x14ac:dyDescent="0.35">
      <c r="G157" s="118"/>
      <c r="I157" s="118"/>
    </row>
    <row r="158" spans="7:9" x14ac:dyDescent="0.35">
      <c r="G158" s="118"/>
      <c r="I158" s="118"/>
    </row>
    <row r="159" spans="7:9" x14ac:dyDescent="0.35">
      <c r="G159" s="118"/>
      <c r="I159" s="118"/>
    </row>
    <row r="160" spans="7:9" x14ac:dyDescent="0.35">
      <c r="G160" s="118"/>
    </row>
    <row r="161" spans="7:9" x14ac:dyDescent="0.35">
      <c r="G161" s="118"/>
      <c r="I161" s="118"/>
    </row>
    <row r="162" spans="7:9" x14ac:dyDescent="0.35">
      <c r="G162" s="118"/>
      <c r="I162" s="118"/>
    </row>
    <row r="163" spans="7:9" x14ac:dyDescent="0.35">
      <c r="G163" s="118"/>
      <c r="I163" s="118"/>
    </row>
    <row r="164" spans="7:9" x14ac:dyDescent="0.35">
      <c r="G164" s="118"/>
      <c r="I164" s="118"/>
    </row>
    <row r="165" spans="7:9" x14ac:dyDescent="0.35">
      <c r="G165" s="118"/>
      <c r="I165" s="118"/>
    </row>
    <row r="166" spans="7:9" x14ac:dyDescent="0.35">
      <c r="G166" s="118"/>
      <c r="I166" s="118"/>
    </row>
    <row r="167" spans="7:9" x14ac:dyDescent="0.35">
      <c r="G167" s="118"/>
      <c r="I167" s="118"/>
    </row>
    <row r="168" spans="7:9" x14ac:dyDescent="0.35">
      <c r="G168" s="118"/>
      <c r="I168" s="118"/>
    </row>
    <row r="169" spans="7:9" x14ac:dyDescent="0.35">
      <c r="G169" s="118"/>
      <c r="I169" s="118"/>
    </row>
    <row r="170" spans="7:9" x14ac:dyDescent="0.35">
      <c r="G170" s="118"/>
      <c r="I170" s="118"/>
    </row>
    <row r="171" spans="7:9" x14ac:dyDescent="0.35">
      <c r="G171" s="118"/>
      <c r="I171" s="118"/>
    </row>
    <row r="172" spans="7:9" x14ac:dyDescent="0.35">
      <c r="G172" s="118"/>
      <c r="I172" s="118"/>
    </row>
    <row r="173" spans="7:9" x14ac:dyDescent="0.35">
      <c r="G173" s="118"/>
      <c r="I173" s="118"/>
    </row>
    <row r="174" spans="7:9" x14ac:dyDescent="0.35">
      <c r="G174" s="118"/>
      <c r="I174" s="118"/>
    </row>
    <row r="175" spans="7:9" x14ac:dyDescent="0.35">
      <c r="G175" s="118"/>
      <c r="I175" s="118"/>
    </row>
    <row r="176" spans="7:9" x14ac:dyDescent="0.35">
      <c r="G176" s="118"/>
      <c r="I176" s="118"/>
    </row>
    <row r="177" spans="7:9" x14ac:dyDescent="0.35">
      <c r="G177" s="118"/>
      <c r="I177" s="118"/>
    </row>
    <row r="178" spans="7:9" x14ac:dyDescent="0.35">
      <c r="G178" s="118"/>
      <c r="I178" s="118"/>
    </row>
    <row r="179" spans="7:9" x14ac:dyDescent="0.35">
      <c r="G179" s="118"/>
      <c r="I179" s="118"/>
    </row>
    <row r="180" spans="7:9" x14ac:dyDescent="0.35">
      <c r="G180" s="118"/>
      <c r="I180" s="118"/>
    </row>
    <row r="181" spans="7:9" x14ac:dyDescent="0.35">
      <c r="G181" s="118"/>
      <c r="I181" s="118"/>
    </row>
    <row r="182" spans="7:9" x14ac:dyDescent="0.35">
      <c r="G182" s="118"/>
      <c r="I182" s="118"/>
    </row>
    <row r="183" spans="7:9" x14ac:dyDescent="0.35">
      <c r="G183" s="118"/>
      <c r="I183" s="118"/>
    </row>
    <row r="184" spans="7:9" x14ac:dyDescent="0.35">
      <c r="G184" s="118"/>
      <c r="I184" s="118"/>
    </row>
    <row r="185" spans="7:9" x14ac:dyDescent="0.35">
      <c r="G185" s="118"/>
      <c r="I185" s="118"/>
    </row>
    <row r="186" spans="7:9" x14ac:dyDescent="0.35">
      <c r="G186" s="118"/>
      <c r="I186" s="118"/>
    </row>
    <row r="187" spans="7:9" x14ac:dyDescent="0.35">
      <c r="G187" s="118"/>
      <c r="I187" s="118"/>
    </row>
    <row r="188" spans="7:9" x14ac:dyDescent="0.35">
      <c r="G188" s="118"/>
      <c r="I188" s="118"/>
    </row>
    <row r="189" spans="7:9" x14ac:dyDescent="0.35">
      <c r="G189" s="118"/>
      <c r="I189" s="118"/>
    </row>
    <row r="190" spans="7:9" x14ac:dyDescent="0.35">
      <c r="G190" s="118"/>
      <c r="I190" s="118"/>
    </row>
    <row r="191" spans="7:9" x14ac:dyDescent="0.35">
      <c r="G191" s="118"/>
      <c r="I191" s="118"/>
    </row>
    <row r="192" spans="7:9" x14ac:dyDescent="0.35">
      <c r="G192" s="118"/>
      <c r="I192" s="118"/>
    </row>
    <row r="193" spans="7:9" x14ac:dyDescent="0.35">
      <c r="G193" s="118"/>
      <c r="I193" s="118"/>
    </row>
    <row r="194" spans="7:9" x14ac:dyDescent="0.35">
      <c r="G194" s="118"/>
      <c r="I194" s="118"/>
    </row>
    <row r="195" spans="7:9" x14ac:dyDescent="0.35">
      <c r="G195" s="118"/>
      <c r="I195" s="118"/>
    </row>
    <row r="196" spans="7:9" x14ac:dyDescent="0.35">
      <c r="G196" s="118"/>
      <c r="I196" s="118"/>
    </row>
    <row r="197" spans="7:9" x14ac:dyDescent="0.35">
      <c r="G197" s="118"/>
      <c r="I197" s="118"/>
    </row>
    <row r="198" spans="7:9" x14ac:dyDescent="0.35">
      <c r="G198" s="118"/>
      <c r="I198" s="118"/>
    </row>
    <row r="199" spans="7:9" x14ac:dyDescent="0.35">
      <c r="G199" s="118"/>
      <c r="I199" s="118"/>
    </row>
    <row r="200" spans="7:9" x14ac:dyDescent="0.35">
      <c r="G200" s="118"/>
    </row>
    <row r="201" spans="7:9" x14ac:dyDescent="0.35">
      <c r="G201" s="118"/>
    </row>
    <row r="202" spans="7:9" x14ac:dyDescent="0.35">
      <c r="G202" s="118"/>
    </row>
    <row r="203" spans="7:9" x14ac:dyDescent="0.35">
      <c r="G203" s="118"/>
    </row>
    <row r="204" spans="7:9" x14ac:dyDescent="0.35">
      <c r="G204" s="142"/>
    </row>
    <row r="205" spans="7:9" x14ac:dyDescent="0.35">
      <c r="G205" s="142"/>
    </row>
    <row r="206" spans="7:9" x14ac:dyDescent="0.35">
      <c r="G206" s="142"/>
    </row>
    <row r="207" spans="7:9" x14ac:dyDescent="0.35">
      <c r="G207" s="142"/>
    </row>
    <row r="208" spans="7:9" x14ac:dyDescent="0.35">
      <c r="G208" s="142"/>
    </row>
    <row r="209" spans="7:7" x14ac:dyDescent="0.35">
      <c r="G209" s="142"/>
    </row>
    <row r="210" spans="7:7" x14ac:dyDescent="0.35">
      <c r="G210" s="142"/>
    </row>
    <row r="211" spans="7:7" x14ac:dyDescent="0.35">
      <c r="G211" s="142"/>
    </row>
    <row r="212" spans="7:7" x14ac:dyDescent="0.35">
      <c r="G212" s="142"/>
    </row>
    <row r="213" spans="7:7" x14ac:dyDescent="0.35">
      <c r="G213" s="142"/>
    </row>
    <row r="214" spans="7:7" x14ac:dyDescent="0.35">
      <c r="G214" s="142"/>
    </row>
    <row r="215" spans="7:7" x14ac:dyDescent="0.35">
      <c r="G215" s="142"/>
    </row>
    <row r="216" spans="7:7" x14ac:dyDescent="0.35">
      <c r="G216" s="142"/>
    </row>
    <row r="217" spans="7:7" x14ac:dyDescent="0.35">
      <c r="G217" s="142"/>
    </row>
    <row r="218" spans="7:7" x14ac:dyDescent="0.35">
      <c r="G218" s="142"/>
    </row>
    <row r="219" spans="7:7" x14ac:dyDescent="0.35">
      <c r="G219" s="142"/>
    </row>
    <row r="220" spans="7:7" x14ac:dyDescent="0.35">
      <c r="G220" s="142"/>
    </row>
    <row r="221" spans="7:7" x14ac:dyDescent="0.35">
      <c r="G221" s="142"/>
    </row>
    <row r="222" spans="7:7" x14ac:dyDescent="0.35">
      <c r="G222" s="142"/>
    </row>
    <row r="223" spans="7:7" x14ac:dyDescent="0.35">
      <c r="G223" s="142"/>
    </row>
    <row r="224" spans="7:7" x14ac:dyDescent="0.35">
      <c r="G224" s="142"/>
    </row>
    <row r="225" spans="7:7" x14ac:dyDescent="0.35">
      <c r="G225" s="142"/>
    </row>
    <row r="226" spans="7:7" x14ac:dyDescent="0.35">
      <c r="G226" s="142"/>
    </row>
    <row r="227" spans="7:7" x14ac:dyDescent="0.35">
      <c r="G227" s="142"/>
    </row>
    <row r="228" spans="7:7" x14ac:dyDescent="0.35">
      <c r="G228" s="142"/>
    </row>
    <row r="229" spans="7:7" x14ac:dyDescent="0.35">
      <c r="G229" s="142"/>
    </row>
    <row r="230" spans="7:7" x14ac:dyDescent="0.35">
      <c r="G230" s="142"/>
    </row>
    <row r="231" spans="7:7" x14ac:dyDescent="0.35">
      <c r="G231" s="142"/>
    </row>
    <row r="232" spans="7:7" x14ac:dyDescent="0.35">
      <c r="G232" s="142"/>
    </row>
    <row r="233" spans="7:7" x14ac:dyDescent="0.35">
      <c r="G233" s="142"/>
    </row>
    <row r="234" spans="7:7" x14ac:dyDescent="0.35">
      <c r="G234" s="142"/>
    </row>
    <row r="235" spans="7:7" x14ac:dyDescent="0.35">
      <c r="G235" s="142"/>
    </row>
    <row r="236" spans="7:7" x14ac:dyDescent="0.35">
      <c r="G236" s="142"/>
    </row>
    <row r="237" spans="7:7" x14ac:dyDescent="0.35">
      <c r="G237" s="14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3"/>
  <sheetViews>
    <sheetView workbookViewId="0"/>
  </sheetViews>
  <sheetFormatPr defaultRowHeight="12.5" x14ac:dyDescent="0.25"/>
  <cols>
    <col min="1" max="1" width="13.6328125" style="143" customWidth="1"/>
    <col min="2" max="9" width="10.7265625" style="147" customWidth="1"/>
    <col min="10" max="10" width="10.7265625" style="1" customWidth="1"/>
    <col min="12" max="12" width="10.7265625" style="16" bestFit="1" customWidth="1"/>
  </cols>
  <sheetData>
    <row r="1" spans="1:18" x14ac:dyDescent="0.25">
      <c r="A1" s="129"/>
      <c r="B1" s="129"/>
      <c r="C1" s="129"/>
      <c r="D1" s="129"/>
      <c r="E1" s="129"/>
      <c r="F1" s="129"/>
      <c r="G1" s="129"/>
      <c r="H1" s="129"/>
      <c r="K1" s="129"/>
      <c r="L1" s="120"/>
      <c r="O1" s="10"/>
      <c r="P1" s="18"/>
    </row>
    <row r="2" spans="1:18" ht="14" x14ac:dyDescent="0.3">
      <c r="A2" s="129"/>
      <c r="B2" s="35" t="s">
        <v>171</v>
      </c>
      <c r="C2" s="35" t="s">
        <v>172</v>
      </c>
      <c r="D2" s="35" t="s">
        <v>173</v>
      </c>
      <c r="E2" s="35"/>
      <c r="F2" s="129"/>
      <c r="G2" s="129"/>
      <c r="H2" s="129"/>
      <c r="I2" s="129"/>
      <c r="J2" s="129"/>
      <c r="L2" s="35"/>
    </row>
    <row r="3" spans="1:18" ht="14" x14ac:dyDescent="0.3">
      <c r="B3" s="155" t="s">
        <v>67</v>
      </c>
      <c r="D3" s="35"/>
      <c r="E3" s="35"/>
      <c r="F3" s="35"/>
      <c r="G3" s="35"/>
      <c r="H3" s="35"/>
      <c r="I3" s="35"/>
      <c r="J3" s="35"/>
      <c r="K3" s="129"/>
      <c r="L3"/>
    </row>
    <row r="4" spans="1:18" ht="15.5" x14ac:dyDescent="0.35">
      <c r="A4" s="157">
        <v>43739</v>
      </c>
      <c r="B4" s="162">
        <v>30.14</v>
      </c>
      <c r="C4" s="162">
        <v>36.31</v>
      </c>
      <c r="D4" s="162">
        <v>37.94</v>
      </c>
      <c r="E4" s="162"/>
      <c r="F4" s="155"/>
      <c r="G4" s="129"/>
      <c r="H4" s="129"/>
      <c r="K4" s="137"/>
      <c r="L4" s="124"/>
      <c r="O4" s="126"/>
      <c r="P4" s="127"/>
    </row>
    <row r="5" spans="1:18" ht="15.5" x14ac:dyDescent="0.35">
      <c r="A5" s="157">
        <v>43770</v>
      </c>
      <c r="B5" s="162">
        <v>30.62</v>
      </c>
      <c r="C5" s="162">
        <v>36.15</v>
      </c>
      <c r="D5" s="162">
        <v>38.4</v>
      </c>
      <c r="E5" s="162"/>
      <c r="F5" s="154"/>
      <c r="G5" s="154"/>
      <c r="K5" s="137"/>
      <c r="L5" s="124"/>
      <c r="O5" s="126"/>
      <c r="P5" s="127"/>
    </row>
    <row r="6" spans="1:18" ht="15.5" x14ac:dyDescent="0.35">
      <c r="A6" s="157">
        <v>43800</v>
      </c>
      <c r="B6" s="162">
        <v>32.270000000000003</v>
      </c>
      <c r="C6" s="162">
        <v>38.06</v>
      </c>
      <c r="D6" s="162">
        <v>40.25</v>
      </c>
      <c r="E6" s="162"/>
      <c r="F6" s="154"/>
      <c r="G6" s="154"/>
      <c r="K6" s="137"/>
      <c r="L6" s="124"/>
      <c r="O6" s="126"/>
      <c r="P6" s="127"/>
    </row>
    <row r="7" spans="1:18" ht="15.5" x14ac:dyDescent="0.35">
      <c r="A7" s="157">
        <v>43831</v>
      </c>
      <c r="B7" s="162">
        <v>33.04</v>
      </c>
      <c r="C7" s="162">
        <v>37.9</v>
      </c>
      <c r="D7" s="162">
        <v>40.1</v>
      </c>
      <c r="E7" s="162"/>
      <c r="F7" s="154"/>
      <c r="G7" s="154"/>
      <c r="K7" s="137"/>
      <c r="L7" s="124"/>
      <c r="O7" s="126"/>
      <c r="P7" s="127"/>
    </row>
    <row r="8" spans="1:18" ht="15.5" x14ac:dyDescent="0.35">
      <c r="A8" s="157">
        <v>43862</v>
      </c>
      <c r="B8" s="162">
        <v>30.26</v>
      </c>
      <c r="C8" s="162">
        <v>35.5</v>
      </c>
      <c r="D8" s="162">
        <v>38.5</v>
      </c>
      <c r="E8" s="162"/>
      <c r="F8" s="154"/>
      <c r="G8" s="154"/>
      <c r="K8" s="137"/>
      <c r="L8" s="124"/>
      <c r="O8" s="126"/>
      <c r="P8" s="127"/>
    </row>
    <row r="9" spans="1:18" ht="15.5" x14ac:dyDescent="0.35">
      <c r="A9" s="157">
        <v>43891</v>
      </c>
      <c r="B9" s="162">
        <v>27.04</v>
      </c>
      <c r="C9" s="162">
        <v>32.880000000000003</v>
      </c>
      <c r="D9" s="162">
        <v>36.19</v>
      </c>
      <c r="E9" s="162"/>
      <c r="F9" s="154"/>
      <c r="G9" s="154"/>
      <c r="H9" s="153"/>
      <c r="K9" s="137"/>
      <c r="L9" s="124"/>
      <c r="N9" s="127"/>
      <c r="O9" s="126"/>
      <c r="P9" s="127"/>
    </row>
    <row r="10" spans="1:18" ht="15.5" x14ac:dyDescent="0.35">
      <c r="A10" s="157">
        <v>43922</v>
      </c>
      <c r="B10" s="162">
        <v>25.69</v>
      </c>
      <c r="C10" s="162">
        <v>32.380000000000003</v>
      </c>
      <c r="D10" s="162">
        <v>37.31</v>
      </c>
      <c r="E10" s="162"/>
      <c r="F10" s="154"/>
      <c r="G10" s="154"/>
      <c r="H10" s="153"/>
      <c r="K10" s="137"/>
      <c r="L10" s="124"/>
      <c r="N10" s="127"/>
      <c r="O10" s="126"/>
      <c r="P10" s="127"/>
    </row>
    <row r="11" spans="1:18" ht="15.5" x14ac:dyDescent="0.35">
      <c r="A11" s="157">
        <v>43952</v>
      </c>
      <c r="B11" s="162">
        <v>25.27</v>
      </c>
      <c r="C11" s="162">
        <v>32.4</v>
      </c>
      <c r="D11" s="162">
        <v>37.200000000000003</v>
      </c>
      <c r="E11" s="162"/>
      <c r="F11" s="154"/>
      <c r="G11" s="154"/>
      <c r="H11" s="153"/>
      <c r="K11" s="137"/>
      <c r="L11" s="124"/>
      <c r="N11" s="127"/>
      <c r="O11" s="126"/>
    </row>
    <row r="12" spans="1:18" ht="15.5" x14ac:dyDescent="0.35">
      <c r="A12" s="157">
        <v>43983</v>
      </c>
      <c r="B12" s="162">
        <v>26.61</v>
      </c>
      <c r="C12" s="162">
        <v>36.630000000000003</v>
      </c>
      <c r="D12" s="162">
        <v>36.75</v>
      </c>
      <c r="E12" s="162"/>
      <c r="F12" s="154"/>
      <c r="G12" s="154"/>
      <c r="H12" s="153"/>
      <c r="K12" s="137"/>
      <c r="L12" s="124"/>
      <c r="N12" s="127"/>
      <c r="O12" s="126"/>
    </row>
    <row r="13" spans="1:18" ht="15.5" x14ac:dyDescent="0.35">
      <c r="A13" s="157">
        <v>44013</v>
      </c>
      <c r="B13" s="162">
        <v>28.71</v>
      </c>
      <c r="C13" s="162">
        <v>40.5</v>
      </c>
      <c r="D13" s="162">
        <v>43</v>
      </c>
      <c r="E13" s="162"/>
      <c r="F13" s="154"/>
      <c r="G13" s="154"/>
      <c r="H13" s="153"/>
      <c r="K13" s="137"/>
      <c r="L13" s="124"/>
      <c r="N13" s="127"/>
      <c r="O13" s="126"/>
    </row>
    <row r="14" spans="1:18" ht="15.5" x14ac:dyDescent="0.35">
      <c r="A14" s="157">
        <v>44044</v>
      </c>
      <c r="B14" s="162">
        <v>32.130000000000003</v>
      </c>
      <c r="C14" s="162">
        <v>47.81</v>
      </c>
      <c r="D14" s="162">
        <v>46.81</v>
      </c>
      <c r="E14" s="162"/>
      <c r="F14" s="154"/>
      <c r="G14" s="154"/>
      <c r="H14" s="153"/>
      <c r="K14" s="137"/>
      <c r="L14" s="124"/>
      <c r="N14" s="127"/>
      <c r="O14" s="126"/>
    </row>
    <row r="15" spans="1:18" ht="15.5" x14ac:dyDescent="0.35">
      <c r="A15" s="157">
        <v>44075</v>
      </c>
      <c r="B15" s="162">
        <v>34.200000000000003</v>
      </c>
      <c r="C15" s="162">
        <v>47.94</v>
      </c>
      <c r="D15" s="162">
        <v>49.69</v>
      </c>
      <c r="E15" s="162"/>
      <c r="F15" s="154"/>
      <c r="G15" s="154"/>
      <c r="H15" s="153"/>
      <c r="K15" s="137"/>
      <c r="L15" s="127"/>
      <c r="N15" s="127"/>
    </row>
    <row r="16" spans="1:18" ht="15.5" x14ac:dyDescent="0.35">
      <c r="A16" s="157">
        <v>44105</v>
      </c>
      <c r="B16" s="162">
        <v>33.92</v>
      </c>
      <c r="C16" s="162">
        <v>44.35</v>
      </c>
      <c r="D16" s="162">
        <v>48.35</v>
      </c>
      <c r="E16" s="162"/>
      <c r="F16" s="154"/>
      <c r="G16" s="154"/>
      <c r="H16" s="153"/>
      <c r="K16" s="125"/>
      <c r="L16" s="127"/>
      <c r="P16" s="124"/>
      <c r="Q16" s="124"/>
      <c r="R16" s="124"/>
    </row>
    <row r="17" spans="1:17" ht="15.5" x14ac:dyDescent="0.35">
      <c r="A17" s="157">
        <v>44136</v>
      </c>
      <c r="B17" s="162">
        <v>37.79</v>
      </c>
      <c r="C17" s="162">
        <v>49.5</v>
      </c>
      <c r="D17" s="162">
        <v>54.44</v>
      </c>
      <c r="E17" s="162"/>
      <c r="F17" s="151"/>
      <c r="G17" s="151"/>
      <c r="H17" s="151"/>
      <c r="I17" s="151"/>
      <c r="J17" s="151"/>
      <c r="K17" s="125"/>
      <c r="L17" s="127"/>
      <c r="P17" s="13"/>
      <c r="Q17" s="13"/>
    </row>
    <row r="18" spans="1:17" ht="15.5" x14ac:dyDescent="0.35">
      <c r="A18" s="14"/>
      <c r="B18" s="151"/>
      <c r="C18" s="151"/>
      <c r="D18" s="151"/>
      <c r="E18" s="151"/>
      <c r="F18" s="151"/>
      <c r="G18" s="151"/>
      <c r="H18" s="151"/>
      <c r="I18" s="151"/>
      <c r="J18" s="151"/>
      <c r="K18" s="125"/>
      <c r="L18" s="127"/>
      <c r="N18" s="126"/>
      <c r="O18" s="126"/>
      <c r="P18" s="13"/>
      <c r="Q18" s="13"/>
    </row>
    <row r="19" spans="1:17" ht="15.5" x14ac:dyDescent="0.35">
      <c r="A19" s="14"/>
      <c r="B19" s="151"/>
      <c r="C19" s="151"/>
      <c r="D19" s="151"/>
      <c r="E19" s="151"/>
      <c r="F19" s="151"/>
      <c r="G19" s="151"/>
      <c r="H19" s="151"/>
      <c r="I19" s="151"/>
      <c r="J19" s="151"/>
      <c r="K19" s="125"/>
      <c r="L19" s="127"/>
      <c r="N19" s="9"/>
      <c r="O19" s="126"/>
      <c r="P19" s="13"/>
      <c r="Q19" s="13"/>
    </row>
    <row r="20" spans="1:17" ht="15.5" x14ac:dyDescent="0.35">
      <c r="A20" s="35"/>
      <c r="B20" s="151"/>
      <c r="C20" s="151"/>
      <c r="D20" s="151"/>
      <c r="E20" s="151"/>
      <c r="F20" s="151"/>
      <c r="G20" s="151"/>
      <c r="H20" s="151"/>
      <c r="I20" s="151"/>
      <c r="J20" s="151"/>
      <c r="K20" s="125"/>
      <c r="L20" s="127"/>
      <c r="N20" s="9"/>
      <c r="O20" s="126"/>
      <c r="P20" s="13"/>
      <c r="Q20" s="13"/>
    </row>
    <row r="21" spans="1:17" ht="15.5" x14ac:dyDescent="0.35">
      <c r="A21" s="35"/>
      <c r="B21" s="151"/>
      <c r="C21" s="151"/>
      <c r="D21" s="151"/>
      <c r="E21" s="151"/>
      <c r="F21" s="151"/>
      <c r="G21" s="151"/>
      <c r="H21" s="151"/>
      <c r="I21" s="151"/>
      <c r="J21" s="151"/>
      <c r="K21" s="125"/>
      <c r="L21" s="127"/>
      <c r="N21" s="9"/>
      <c r="O21" s="126"/>
      <c r="P21" s="13"/>
      <c r="Q21" s="13"/>
    </row>
    <row r="22" spans="1:17" ht="15.5" x14ac:dyDescent="0.35">
      <c r="B22" s="151"/>
      <c r="C22" s="151"/>
      <c r="D22" s="151"/>
      <c r="E22" s="151"/>
      <c r="F22" s="151"/>
      <c r="G22" s="151"/>
      <c r="H22" s="151"/>
      <c r="I22" s="151"/>
      <c r="J22" s="151"/>
      <c r="K22" s="125"/>
      <c r="L22" s="127"/>
      <c r="N22" s="9"/>
      <c r="O22" s="126"/>
      <c r="P22" s="13"/>
      <c r="Q22" s="13"/>
    </row>
    <row r="23" spans="1:17" ht="15.5" x14ac:dyDescent="0.35">
      <c r="A23" s="145"/>
      <c r="B23" s="151"/>
      <c r="C23" s="151"/>
      <c r="D23" s="151"/>
      <c r="E23" s="151"/>
      <c r="F23" s="151"/>
      <c r="G23" s="151"/>
      <c r="H23" s="151"/>
      <c r="I23" s="151"/>
      <c r="J23" s="151"/>
      <c r="K23" s="125"/>
      <c r="L23" s="9"/>
      <c r="N23" s="9"/>
      <c r="O23" s="126"/>
      <c r="P23" s="13"/>
      <c r="Q23" s="13"/>
    </row>
    <row r="24" spans="1:17" ht="15.5" x14ac:dyDescent="0.35">
      <c r="A24" s="145"/>
      <c r="B24" s="151"/>
      <c r="C24" s="151"/>
      <c r="D24" s="151"/>
      <c r="E24" s="151"/>
      <c r="F24" s="151"/>
      <c r="G24" s="151"/>
      <c r="H24" s="151"/>
      <c r="I24" s="151"/>
      <c r="J24" s="151"/>
      <c r="K24" s="125"/>
      <c r="L24" s="9"/>
      <c r="N24" s="9"/>
      <c r="O24" s="126"/>
      <c r="P24" s="13"/>
      <c r="Q24" s="13"/>
    </row>
    <row r="25" spans="1:17" ht="15.5" x14ac:dyDescent="0.35">
      <c r="A25" s="145"/>
      <c r="B25" s="151"/>
      <c r="C25" s="151"/>
      <c r="D25" s="151"/>
      <c r="E25" s="151"/>
      <c r="F25" s="151"/>
      <c r="G25" s="151"/>
      <c r="H25" s="151"/>
      <c r="I25" s="151"/>
      <c r="J25" s="151"/>
      <c r="K25" s="125"/>
      <c r="L25" s="9"/>
      <c r="N25" s="9"/>
      <c r="O25" s="126"/>
      <c r="P25" s="13"/>
      <c r="Q25" s="13"/>
    </row>
    <row r="26" spans="1:17" ht="15.5" x14ac:dyDescent="0.35">
      <c r="A26" s="145"/>
      <c r="B26" s="151"/>
      <c r="C26" s="151"/>
      <c r="D26" s="151"/>
      <c r="E26" s="151"/>
      <c r="F26" s="151"/>
      <c r="G26" s="151"/>
      <c r="H26" s="151"/>
      <c r="I26" s="151"/>
      <c r="J26" s="151"/>
      <c r="K26" s="125"/>
      <c r="L26" s="9"/>
      <c r="N26" s="9"/>
      <c r="O26" s="126"/>
      <c r="P26" s="13"/>
      <c r="Q26" s="13"/>
    </row>
    <row r="27" spans="1:17" ht="15.5" x14ac:dyDescent="0.35">
      <c r="A27" s="145"/>
      <c r="B27" s="151"/>
      <c r="C27" s="151"/>
      <c r="D27" s="151"/>
      <c r="E27" s="151"/>
      <c r="F27" s="151"/>
      <c r="G27" s="151"/>
      <c r="H27" s="151"/>
      <c r="I27" s="151"/>
      <c r="J27" s="151"/>
      <c r="K27" s="125"/>
      <c r="L27" s="9"/>
      <c r="N27" s="9"/>
      <c r="O27" s="126"/>
      <c r="P27" s="13"/>
      <c r="Q27" s="13"/>
    </row>
    <row r="28" spans="1:17" ht="15.5" x14ac:dyDescent="0.35">
      <c r="A28" s="145"/>
      <c r="B28" s="151"/>
      <c r="C28" s="151"/>
      <c r="D28" s="151"/>
      <c r="E28" s="151"/>
      <c r="F28" s="151"/>
      <c r="G28" s="151"/>
      <c r="H28" s="151"/>
      <c r="I28" s="151"/>
      <c r="J28" s="151"/>
      <c r="K28" s="125"/>
      <c r="L28" s="9"/>
      <c r="N28" s="9"/>
      <c r="O28" s="126"/>
      <c r="P28" s="13"/>
      <c r="Q28" s="13"/>
    </row>
    <row r="29" spans="1:17" ht="15.5" x14ac:dyDescent="0.35">
      <c r="A29" s="145"/>
      <c r="B29" s="151"/>
      <c r="C29" s="151"/>
      <c r="D29" s="151"/>
      <c r="E29" s="151"/>
      <c r="F29" s="151"/>
      <c r="G29" s="151"/>
      <c r="H29" s="151"/>
      <c r="I29" s="151"/>
      <c r="J29" s="151"/>
      <c r="K29" s="125"/>
      <c r="L29" s="9"/>
      <c r="N29" s="9"/>
      <c r="O29" s="126"/>
    </row>
    <row r="30" spans="1:17" x14ac:dyDescent="0.25">
      <c r="A30" s="145"/>
      <c r="J30" s="141"/>
      <c r="K30" s="9"/>
      <c r="L30" s="9"/>
      <c r="N30" s="9"/>
      <c r="O30" s="126"/>
    </row>
    <row r="31" spans="1:17" x14ac:dyDescent="0.25">
      <c r="A31" s="145"/>
      <c r="J31" s="141"/>
      <c r="K31" s="126"/>
      <c r="L31" s="126"/>
      <c r="N31" s="126"/>
      <c r="O31" s="126"/>
    </row>
    <row r="32" spans="1:17" x14ac:dyDescent="0.25">
      <c r="A32" s="145"/>
      <c r="J32" s="141"/>
      <c r="K32" s="126"/>
      <c r="L32" s="126"/>
      <c r="N32" s="126"/>
      <c r="O32" s="126"/>
    </row>
    <row r="33" spans="1:15" x14ac:dyDescent="0.25">
      <c r="A33" s="145"/>
      <c r="J33" s="141"/>
      <c r="K33" s="126"/>
      <c r="L33" s="126"/>
      <c r="N33" s="126"/>
      <c r="O33" s="126"/>
    </row>
    <row r="34" spans="1:15" x14ac:dyDescent="0.25">
      <c r="A34" s="145"/>
      <c r="J34" s="141"/>
      <c r="K34" s="13"/>
      <c r="L34" s="13"/>
      <c r="N34" s="13"/>
    </row>
    <row r="35" spans="1:15" x14ac:dyDescent="0.25">
      <c r="A35" s="145"/>
      <c r="J35" s="141"/>
      <c r="K35" s="13"/>
      <c r="L35" s="13"/>
      <c r="N35" s="13"/>
    </row>
    <row r="36" spans="1:15" x14ac:dyDescent="0.25">
      <c r="A36" s="145"/>
      <c r="J36" s="141"/>
      <c r="K36" s="13"/>
      <c r="L36" s="13"/>
      <c r="N36" s="13"/>
    </row>
    <row r="37" spans="1:15" x14ac:dyDescent="0.25">
      <c r="A37" s="145"/>
      <c r="J37" s="141"/>
      <c r="K37" s="13"/>
      <c r="L37" s="13"/>
      <c r="N37" s="13"/>
    </row>
    <row r="38" spans="1:15" x14ac:dyDescent="0.25">
      <c r="A38" s="145"/>
      <c r="J38" s="141"/>
      <c r="K38" s="13"/>
      <c r="L38" s="13"/>
      <c r="N38" s="13"/>
    </row>
    <row r="39" spans="1:15" x14ac:dyDescent="0.25">
      <c r="A39" s="145"/>
      <c r="J39" s="141"/>
      <c r="K39" s="13"/>
      <c r="L39" s="13"/>
      <c r="N39" s="13"/>
    </row>
    <row r="40" spans="1:15" x14ac:dyDescent="0.25">
      <c r="A40" s="145"/>
      <c r="J40" s="141"/>
      <c r="K40" s="13"/>
      <c r="L40" s="13"/>
      <c r="N40" s="13"/>
    </row>
    <row r="41" spans="1:15" x14ac:dyDescent="0.25">
      <c r="A41" s="145"/>
      <c r="J41" s="141"/>
      <c r="K41" s="13"/>
      <c r="L41" s="13"/>
      <c r="N41" s="13"/>
    </row>
    <row r="42" spans="1:15" x14ac:dyDescent="0.25">
      <c r="A42" s="145"/>
      <c r="J42" s="141"/>
      <c r="K42" s="13"/>
      <c r="L42" s="13"/>
      <c r="N42" s="13"/>
    </row>
    <row r="43" spans="1:15" x14ac:dyDescent="0.25">
      <c r="A43" s="145"/>
      <c r="J43" s="141"/>
      <c r="K43" s="13"/>
      <c r="L43" s="13"/>
      <c r="N43" s="13"/>
    </row>
    <row r="44" spans="1:15" x14ac:dyDescent="0.25">
      <c r="A44" s="145"/>
      <c r="J44" s="118"/>
      <c r="L44" s="118"/>
    </row>
    <row r="45" spans="1:15" x14ac:dyDescent="0.25">
      <c r="A45" s="145"/>
      <c r="J45" s="118"/>
      <c r="L45" s="118"/>
    </row>
    <row r="46" spans="1:15" x14ac:dyDescent="0.25">
      <c r="A46" s="145"/>
      <c r="J46" s="118"/>
      <c r="L46" s="118"/>
    </row>
    <row r="47" spans="1:15" x14ac:dyDescent="0.25">
      <c r="A47" s="145"/>
      <c r="J47" s="118"/>
      <c r="L47" s="118"/>
    </row>
    <row r="48" spans="1:15" x14ac:dyDescent="0.25">
      <c r="A48" s="145"/>
      <c r="J48" s="118"/>
      <c r="L48" s="118"/>
    </row>
    <row r="49" spans="1:12" x14ac:dyDescent="0.25">
      <c r="A49" s="145"/>
      <c r="J49" s="118"/>
      <c r="L49" s="118"/>
    </row>
    <row r="50" spans="1:12" x14ac:dyDescent="0.25">
      <c r="A50" s="145"/>
      <c r="J50" s="118"/>
      <c r="L50" s="118"/>
    </row>
    <row r="51" spans="1:12" x14ac:dyDescent="0.25">
      <c r="A51" s="146"/>
      <c r="J51" s="118"/>
      <c r="L51" s="118"/>
    </row>
    <row r="52" spans="1:12" x14ac:dyDescent="0.25">
      <c r="A52" s="146"/>
      <c r="J52" s="118"/>
      <c r="L52" s="118"/>
    </row>
    <row r="53" spans="1:12" x14ac:dyDescent="0.25">
      <c r="A53" s="146"/>
      <c r="J53" s="118"/>
      <c r="L53" s="118"/>
    </row>
    <row r="54" spans="1:12" x14ac:dyDescent="0.25">
      <c r="A54" s="146"/>
      <c r="J54" s="118"/>
      <c r="L54" s="118"/>
    </row>
    <row r="55" spans="1:12" x14ac:dyDescent="0.25">
      <c r="A55" s="146"/>
      <c r="J55" s="118"/>
      <c r="L55" s="118"/>
    </row>
    <row r="56" spans="1:12" x14ac:dyDescent="0.25">
      <c r="A56" s="146"/>
      <c r="J56" s="118"/>
      <c r="L56" s="118"/>
    </row>
    <row r="57" spans="1:12" x14ac:dyDescent="0.25">
      <c r="A57" s="146"/>
      <c r="J57" s="118"/>
      <c r="L57" s="118"/>
    </row>
    <row r="58" spans="1:12" x14ac:dyDescent="0.25">
      <c r="A58" s="146"/>
      <c r="J58" s="118"/>
      <c r="L58" s="118"/>
    </row>
    <row r="59" spans="1:12" x14ac:dyDescent="0.25">
      <c r="A59" s="146"/>
      <c r="J59" s="118"/>
      <c r="L59" s="118"/>
    </row>
    <row r="60" spans="1:12" x14ac:dyDescent="0.25">
      <c r="A60" s="146"/>
      <c r="J60" s="118"/>
      <c r="L60" s="118"/>
    </row>
    <row r="61" spans="1:12" x14ac:dyDescent="0.25">
      <c r="A61" s="146"/>
      <c r="J61" s="118"/>
      <c r="L61" s="118"/>
    </row>
    <row r="62" spans="1:12" x14ac:dyDescent="0.25">
      <c r="A62" s="146"/>
      <c r="J62" s="118"/>
      <c r="L62" s="118"/>
    </row>
    <row r="63" spans="1:12" x14ac:dyDescent="0.25">
      <c r="A63" s="146"/>
      <c r="J63" s="118"/>
      <c r="L63" s="118"/>
    </row>
    <row r="64" spans="1:12" x14ac:dyDescent="0.25">
      <c r="A64" s="146"/>
      <c r="J64" s="118"/>
      <c r="L64" s="118"/>
    </row>
    <row r="65" spans="1:12" x14ac:dyDescent="0.25">
      <c r="A65" s="146"/>
      <c r="J65" s="118"/>
      <c r="L65" s="118"/>
    </row>
    <row r="66" spans="1:12" x14ac:dyDescent="0.25">
      <c r="A66" s="146"/>
      <c r="J66" s="118"/>
      <c r="L66" s="118"/>
    </row>
    <row r="67" spans="1:12" x14ac:dyDescent="0.25">
      <c r="A67" s="146"/>
      <c r="J67" s="118"/>
      <c r="L67" s="118"/>
    </row>
    <row r="68" spans="1:12" x14ac:dyDescent="0.25">
      <c r="A68" s="146"/>
      <c r="J68" s="118"/>
      <c r="L68" s="118"/>
    </row>
    <row r="69" spans="1:12" x14ac:dyDescent="0.25">
      <c r="A69" s="146"/>
      <c r="J69" s="118"/>
      <c r="L69" s="118"/>
    </row>
    <row r="70" spans="1:12" x14ac:dyDescent="0.25">
      <c r="A70" s="146"/>
      <c r="J70" s="118"/>
      <c r="L70" s="118"/>
    </row>
    <row r="71" spans="1:12" x14ac:dyDescent="0.25">
      <c r="A71" s="146"/>
      <c r="J71" s="118"/>
      <c r="L71" s="118"/>
    </row>
    <row r="72" spans="1:12" x14ac:dyDescent="0.25">
      <c r="A72" s="146"/>
      <c r="J72" s="118"/>
      <c r="L72" s="118"/>
    </row>
    <row r="73" spans="1:12" x14ac:dyDescent="0.25">
      <c r="A73" s="146"/>
      <c r="J73" s="118"/>
      <c r="L73" s="118"/>
    </row>
    <row r="74" spans="1:12" x14ac:dyDescent="0.25">
      <c r="A74" s="146"/>
      <c r="J74" s="118"/>
      <c r="L74" s="118"/>
    </row>
    <row r="75" spans="1:12" x14ac:dyDescent="0.25">
      <c r="A75" s="146"/>
      <c r="J75" s="118"/>
      <c r="L75" s="118"/>
    </row>
    <row r="76" spans="1:12" x14ac:dyDescent="0.25">
      <c r="A76" s="146"/>
      <c r="J76" s="118"/>
      <c r="L76" s="118"/>
    </row>
    <row r="77" spans="1:12" x14ac:dyDescent="0.25">
      <c r="A77" s="146"/>
      <c r="J77" s="118"/>
      <c r="L77" s="118"/>
    </row>
    <row r="78" spans="1:12" x14ac:dyDescent="0.25">
      <c r="A78" s="146"/>
      <c r="J78" s="118"/>
      <c r="L78" s="118"/>
    </row>
    <row r="79" spans="1:12" x14ac:dyDescent="0.25">
      <c r="A79" s="146"/>
      <c r="J79" s="118"/>
      <c r="L79" s="118"/>
    </row>
    <row r="80" spans="1:12" x14ac:dyDescent="0.25">
      <c r="A80" s="146"/>
      <c r="J80" s="118"/>
      <c r="L80" s="118"/>
    </row>
    <row r="81" spans="1:12" x14ac:dyDescent="0.25">
      <c r="A81" s="146"/>
      <c r="J81" s="118"/>
      <c r="L81" s="118"/>
    </row>
    <row r="82" spans="1:12" x14ac:dyDescent="0.25">
      <c r="A82" s="146"/>
      <c r="J82" s="118"/>
      <c r="L82" s="118"/>
    </row>
    <row r="83" spans="1:12" x14ac:dyDescent="0.25">
      <c r="A83" s="146"/>
      <c r="J83" s="118"/>
      <c r="L83" s="118"/>
    </row>
    <row r="84" spans="1:12" x14ac:dyDescent="0.25">
      <c r="A84" s="146"/>
      <c r="J84" s="118"/>
      <c r="L84" s="118"/>
    </row>
    <row r="85" spans="1:12" x14ac:dyDescent="0.25">
      <c r="A85" s="146"/>
      <c r="J85" s="118"/>
      <c r="L85" s="118"/>
    </row>
    <row r="86" spans="1:12" x14ac:dyDescent="0.25">
      <c r="A86" s="146"/>
      <c r="J86" s="118"/>
      <c r="L86" s="118"/>
    </row>
    <row r="87" spans="1:12" x14ac:dyDescent="0.25">
      <c r="A87" s="146"/>
      <c r="J87" s="118"/>
      <c r="L87" s="118"/>
    </row>
    <row r="88" spans="1:12" x14ac:dyDescent="0.25">
      <c r="A88" s="146"/>
      <c r="J88" s="118"/>
      <c r="L88" s="118"/>
    </row>
    <row r="89" spans="1:12" x14ac:dyDescent="0.25">
      <c r="A89" s="146"/>
      <c r="J89" s="118"/>
      <c r="L89" s="118"/>
    </row>
    <row r="90" spans="1:12" x14ac:dyDescent="0.25">
      <c r="A90" s="146"/>
      <c r="J90" s="118"/>
      <c r="L90" s="118"/>
    </row>
    <row r="91" spans="1:12" x14ac:dyDescent="0.25">
      <c r="A91" s="146"/>
      <c r="J91" s="118"/>
      <c r="L91" s="118"/>
    </row>
    <row r="92" spans="1:12" x14ac:dyDescent="0.25">
      <c r="A92" s="146"/>
      <c r="J92" s="118"/>
      <c r="L92" s="118"/>
    </row>
    <row r="93" spans="1:12" x14ac:dyDescent="0.25">
      <c r="A93" s="146"/>
      <c r="J93" s="118"/>
      <c r="L93" s="118"/>
    </row>
    <row r="94" spans="1:12" x14ac:dyDescent="0.25">
      <c r="A94" s="146"/>
      <c r="J94" s="118"/>
      <c r="L94" s="118"/>
    </row>
    <row r="95" spans="1:12" x14ac:dyDescent="0.25">
      <c r="A95" s="146"/>
      <c r="J95" s="118"/>
      <c r="L95" s="118"/>
    </row>
    <row r="96" spans="1:12" x14ac:dyDescent="0.25">
      <c r="A96" s="146"/>
      <c r="J96" s="118"/>
      <c r="L96" s="118"/>
    </row>
    <row r="97" spans="1:12" x14ac:dyDescent="0.25">
      <c r="A97" s="146"/>
      <c r="J97" s="118"/>
      <c r="L97" s="118"/>
    </row>
    <row r="98" spans="1:12" x14ac:dyDescent="0.25">
      <c r="A98" s="146"/>
      <c r="J98" s="118"/>
      <c r="L98" s="118"/>
    </row>
    <row r="99" spans="1:12" x14ac:dyDescent="0.25">
      <c r="A99" s="146"/>
      <c r="J99" s="118"/>
      <c r="L99" s="118"/>
    </row>
    <row r="100" spans="1:12" x14ac:dyDescent="0.25">
      <c r="A100" s="146"/>
      <c r="J100" s="118"/>
      <c r="L100" s="118"/>
    </row>
    <row r="101" spans="1:12" x14ac:dyDescent="0.25">
      <c r="A101" s="146"/>
      <c r="J101" s="118"/>
      <c r="L101" s="118"/>
    </row>
    <row r="102" spans="1:12" x14ac:dyDescent="0.25">
      <c r="A102" s="146"/>
      <c r="J102" s="118"/>
      <c r="L102" s="118"/>
    </row>
    <row r="103" spans="1:12" x14ac:dyDescent="0.25">
      <c r="A103" s="146"/>
      <c r="J103" s="118"/>
      <c r="L103" s="118"/>
    </row>
    <row r="104" spans="1:12" x14ac:dyDescent="0.25">
      <c r="A104" s="146"/>
      <c r="J104" s="118"/>
      <c r="L104" s="118"/>
    </row>
    <row r="105" spans="1:12" x14ac:dyDescent="0.25">
      <c r="A105" s="146"/>
      <c r="J105" s="118"/>
      <c r="L105" s="118"/>
    </row>
    <row r="106" spans="1:12" x14ac:dyDescent="0.25">
      <c r="A106" s="146"/>
      <c r="J106" s="118"/>
      <c r="L106" s="118"/>
    </row>
    <row r="107" spans="1:12" x14ac:dyDescent="0.25">
      <c r="A107" s="146"/>
      <c r="J107" s="118"/>
      <c r="L107" s="118"/>
    </row>
    <row r="108" spans="1:12" x14ac:dyDescent="0.25">
      <c r="A108" s="146"/>
      <c r="J108" s="118"/>
      <c r="L108" s="118"/>
    </row>
    <row r="109" spans="1:12" x14ac:dyDescent="0.25">
      <c r="A109" s="146"/>
      <c r="J109" s="118"/>
      <c r="L109" s="118"/>
    </row>
    <row r="110" spans="1:12" x14ac:dyDescent="0.25">
      <c r="A110" s="146"/>
      <c r="J110" s="118"/>
      <c r="L110" s="118"/>
    </row>
    <row r="111" spans="1:12" x14ac:dyDescent="0.25">
      <c r="A111" s="146"/>
      <c r="J111" s="118"/>
      <c r="L111" s="118"/>
    </row>
    <row r="112" spans="1:12" x14ac:dyDescent="0.25">
      <c r="A112" s="146"/>
      <c r="J112" s="118"/>
      <c r="L112" s="118"/>
    </row>
    <row r="113" spans="1:12" x14ac:dyDescent="0.25">
      <c r="A113" s="146"/>
      <c r="J113" s="118"/>
      <c r="L113" s="118"/>
    </row>
    <row r="114" spans="1:12" x14ac:dyDescent="0.25">
      <c r="A114" s="146"/>
      <c r="J114" s="118"/>
      <c r="L114" s="118"/>
    </row>
    <row r="115" spans="1:12" x14ac:dyDescent="0.25">
      <c r="A115" s="146"/>
      <c r="J115" s="118"/>
      <c r="L115" s="118"/>
    </row>
    <row r="116" spans="1:12" x14ac:dyDescent="0.25">
      <c r="A116" s="146"/>
      <c r="J116" s="118"/>
      <c r="L116" s="118"/>
    </row>
    <row r="117" spans="1:12" x14ac:dyDescent="0.25">
      <c r="A117" s="146"/>
      <c r="J117" s="118"/>
      <c r="L117" s="118"/>
    </row>
    <row r="118" spans="1:12" x14ac:dyDescent="0.25">
      <c r="A118" s="146"/>
      <c r="J118" s="118"/>
      <c r="L118" s="118"/>
    </row>
    <row r="119" spans="1:12" x14ac:dyDescent="0.25">
      <c r="A119" s="146"/>
      <c r="J119" s="118"/>
      <c r="L119" s="118"/>
    </row>
    <row r="120" spans="1:12" x14ac:dyDescent="0.25">
      <c r="A120" s="146"/>
      <c r="J120" s="118"/>
      <c r="L120" s="118"/>
    </row>
    <row r="121" spans="1:12" x14ac:dyDescent="0.25">
      <c r="A121" s="146"/>
      <c r="J121" s="118"/>
      <c r="L121" s="118"/>
    </row>
    <row r="122" spans="1:12" x14ac:dyDescent="0.25">
      <c r="A122" s="146"/>
      <c r="J122" s="118"/>
      <c r="L122" s="118"/>
    </row>
    <row r="123" spans="1:12" x14ac:dyDescent="0.25">
      <c r="A123" s="146"/>
      <c r="J123" s="118"/>
      <c r="L123" s="118"/>
    </row>
    <row r="124" spans="1:12" x14ac:dyDescent="0.25">
      <c r="A124" s="146"/>
      <c r="J124" s="118"/>
      <c r="L124" s="118"/>
    </row>
    <row r="125" spans="1:12" x14ac:dyDescent="0.25">
      <c r="A125" s="146"/>
      <c r="J125" s="118"/>
      <c r="L125" s="118"/>
    </row>
    <row r="126" spans="1:12" x14ac:dyDescent="0.25">
      <c r="A126" s="146"/>
      <c r="J126" s="118"/>
      <c r="L126" s="118"/>
    </row>
    <row r="127" spans="1:12" x14ac:dyDescent="0.25">
      <c r="A127" s="146"/>
      <c r="J127" s="118"/>
      <c r="L127" s="118"/>
    </row>
    <row r="128" spans="1:12" x14ac:dyDescent="0.25">
      <c r="A128" s="146"/>
      <c r="J128" s="118"/>
      <c r="L128" s="118"/>
    </row>
    <row r="129" spans="1:12" x14ac:dyDescent="0.25">
      <c r="A129" s="146"/>
      <c r="J129" s="118"/>
      <c r="L129" s="118"/>
    </row>
    <row r="130" spans="1:12" x14ac:dyDescent="0.25">
      <c r="A130" s="146"/>
      <c r="J130" s="118"/>
      <c r="L130" s="118"/>
    </row>
    <row r="131" spans="1:12" x14ac:dyDescent="0.25">
      <c r="A131" s="146"/>
      <c r="J131" s="118"/>
    </row>
    <row r="132" spans="1:12" x14ac:dyDescent="0.25">
      <c r="A132" s="146"/>
      <c r="J132" s="118"/>
      <c r="L132" s="118"/>
    </row>
    <row r="133" spans="1:12" x14ac:dyDescent="0.25">
      <c r="A133" s="146"/>
      <c r="J133" s="118"/>
      <c r="L133" s="118"/>
    </row>
    <row r="134" spans="1:12" x14ac:dyDescent="0.25">
      <c r="A134" s="146"/>
      <c r="J134" s="118"/>
      <c r="L134" s="118"/>
    </row>
    <row r="135" spans="1:12" x14ac:dyDescent="0.25">
      <c r="A135" s="146"/>
      <c r="J135" s="118"/>
      <c r="L135" s="118"/>
    </row>
    <row r="136" spans="1:12" x14ac:dyDescent="0.25">
      <c r="A136" s="146"/>
      <c r="J136" s="118"/>
      <c r="L136" s="118"/>
    </row>
    <row r="137" spans="1:12" x14ac:dyDescent="0.25">
      <c r="A137" s="146"/>
      <c r="J137" s="118"/>
      <c r="L137" s="118"/>
    </row>
    <row r="138" spans="1:12" x14ac:dyDescent="0.25">
      <c r="A138" s="146"/>
      <c r="J138" s="118"/>
      <c r="L138" s="118"/>
    </row>
    <row r="139" spans="1:12" x14ac:dyDescent="0.25">
      <c r="A139" s="146"/>
      <c r="J139" s="118"/>
      <c r="L139" s="118"/>
    </row>
    <row r="140" spans="1:12" x14ac:dyDescent="0.25">
      <c r="A140" s="146"/>
      <c r="J140" s="118"/>
      <c r="L140" s="118"/>
    </row>
    <row r="141" spans="1:12" x14ac:dyDescent="0.25">
      <c r="A141" s="146"/>
      <c r="J141" s="118"/>
      <c r="L141" s="118"/>
    </row>
    <row r="142" spans="1:12" x14ac:dyDescent="0.25">
      <c r="A142" s="146"/>
      <c r="J142" s="118"/>
      <c r="L142" s="118"/>
    </row>
    <row r="143" spans="1:12" x14ac:dyDescent="0.25">
      <c r="A143" s="146"/>
      <c r="J143" s="118"/>
      <c r="L143" s="118"/>
    </row>
    <row r="144" spans="1:12" x14ac:dyDescent="0.25">
      <c r="A144" s="146"/>
      <c r="J144" s="118"/>
      <c r="L144" s="118"/>
    </row>
    <row r="145" spans="1:12" x14ac:dyDescent="0.25">
      <c r="A145" s="146"/>
      <c r="J145" s="118"/>
      <c r="L145" s="118"/>
    </row>
    <row r="146" spans="1:12" x14ac:dyDescent="0.25">
      <c r="A146" s="146"/>
      <c r="J146" s="118"/>
      <c r="L146" s="118"/>
    </row>
    <row r="147" spans="1:12" x14ac:dyDescent="0.25">
      <c r="A147" s="146"/>
      <c r="J147" s="118"/>
      <c r="L147" s="118"/>
    </row>
    <row r="148" spans="1:12" x14ac:dyDescent="0.25">
      <c r="A148" s="146"/>
      <c r="J148" s="118"/>
      <c r="L148" s="118"/>
    </row>
    <row r="149" spans="1:12" x14ac:dyDescent="0.25">
      <c r="A149" s="146"/>
      <c r="J149" s="118"/>
      <c r="L149" s="118"/>
    </row>
    <row r="150" spans="1:12" x14ac:dyDescent="0.25">
      <c r="A150" s="146"/>
      <c r="J150" s="118"/>
      <c r="L150" s="118"/>
    </row>
    <row r="151" spans="1:12" x14ac:dyDescent="0.25">
      <c r="A151" s="146"/>
      <c r="J151" s="118"/>
      <c r="L151" s="118"/>
    </row>
    <row r="152" spans="1:12" x14ac:dyDescent="0.25">
      <c r="A152" s="146"/>
      <c r="J152" s="118"/>
      <c r="L152" s="118"/>
    </row>
    <row r="153" spans="1:12" x14ac:dyDescent="0.25">
      <c r="A153" s="146"/>
      <c r="J153" s="118"/>
      <c r="L153" s="118"/>
    </row>
    <row r="154" spans="1:12" x14ac:dyDescent="0.25">
      <c r="A154" s="146"/>
      <c r="J154" s="118"/>
      <c r="L154" s="118"/>
    </row>
    <row r="155" spans="1:12" x14ac:dyDescent="0.25">
      <c r="A155" s="146"/>
      <c r="J155" s="118"/>
      <c r="L155" s="118"/>
    </row>
    <row r="156" spans="1:12" x14ac:dyDescent="0.25">
      <c r="A156" s="146"/>
      <c r="J156" s="118"/>
      <c r="L156" s="118"/>
    </row>
    <row r="157" spans="1:12" x14ac:dyDescent="0.25">
      <c r="A157" s="146"/>
      <c r="J157" s="118"/>
      <c r="L157" s="118"/>
    </row>
    <row r="158" spans="1:12" x14ac:dyDescent="0.25">
      <c r="A158" s="146"/>
      <c r="J158" s="118"/>
    </row>
    <row r="159" spans="1:12" x14ac:dyDescent="0.25">
      <c r="A159" s="146"/>
      <c r="J159" s="118"/>
      <c r="L159" s="118"/>
    </row>
    <row r="160" spans="1:12" x14ac:dyDescent="0.25">
      <c r="A160" s="146"/>
      <c r="J160" s="118"/>
      <c r="L160" s="118"/>
    </row>
    <row r="161" spans="1:12" x14ac:dyDescent="0.25">
      <c r="A161" s="146"/>
      <c r="J161" s="118"/>
      <c r="L161" s="118"/>
    </row>
    <row r="162" spans="1:12" x14ac:dyDescent="0.25">
      <c r="A162" s="146"/>
      <c r="J162" s="118"/>
      <c r="L162" s="118"/>
    </row>
    <row r="163" spans="1:12" x14ac:dyDescent="0.25">
      <c r="A163" s="146"/>
      <c r="J163" s="118"/>
      <c r="L163" s="118"/>
    </row>
    <row r="164" spans="1:12" x14ac:dyDescent="0.25">
      <c r="A164" s="146"/>
      <c r="J164" s="118"/>
      <c r="L164" s="118"/>
    </row>
    <row r="165" spans="1:12" x14ac:dyDescent="0.25">
      <c r="A165" s="146"/>
      <c r="J165" s="118"/>
      <c r="L165" s="118"/>
    </row>
    <row r="166" spans="1:12" x14ac:dyDescent="0.25">
      <c r="A166" s="146"/>
      <c r="J166" s="118"/>
      <c r="L166" s="118"/>
    </row>
    <row r="167" spans="1:12" x14ac:dyDescent="0.25">
      <c r="A167" s="146"/>
      <c r="J167" s="118"/>
      <c r="L167" s="118"/>
    </row>
    <row r="168" spans="1:12" x14ac:dyDescent="0.25">
      <c r="A168" s="146"/>
      <c r="J168" s="118"/>
    </row>
    <row r="169" spans="1:12" x14ac:dyDescent="0.25">
      <c r="A169" s="146"/>
      <c r="J169" s="118"/>
      <c r="L169" s="118"/>
    </row>
    <row r="170" spans="1:12" x14ac:dyDescent="0.25">
      <c r="A170" s="146"/>
      <c r="J170" s="118"/>
      <c r="L170" s="118"/>
    </row>
    <row r="171" spans="1:12" x14ac:dyDescent="0.25">
      <c r="A171" s="146"/>
      <c r="J171" s="118"/>
      <c r="L171" s="118"/>
    </row>
    <row r="172" spans="1:12" x14ac:dyDescent="0.25">
      <c r="A172" s="146"/>
      <c r="J172" s="118"/>
      <c r="L172" s="118"/>
    </row>
    <row r="173" spans="1:12" x14ac:dyDescent="0.25">
      <c r="A173" s="146"/>
      <c r="J173" s="118"/>
      <c r="L173" s="118"/>
    </row>
    <row r="174" spans="1:12" x14ac:dyDescent="0.25">
      <c r="A174" s="146"/>
      <c r="J174" s="118"/>
      <c r="L174" s="118"/>
    </row>
    <row r="175" spans="1:12" x14ac:dyDescent="0.25">
      <c r="A175" s="146"/>
      <c r="J175" s="118"/>
      <c r="L175" s="118"/>
    </row>
    <row r="176" spans="1:12" x14ac:dyDescent="0.25">
      <c r="A176" s="146"/>
      <c r="J176" s="118"/>
      <c r="L176" s="118"/>
    </row>
    <row r="177" spans="1:12" x14ac:dyDescent="0.25">
      <c r="A177" s="146"/>
      <c r="J177" s="118"/>
      <c r="L177" s="118"/>
    </row>
    <row r="178" spans="1:12" x14ac:dyDescent="0.25">
      <c r="A178" s="146"/>
      <c r="J178" s="118"/>
      <c r="L178" s="118"/>
    </row>
    <row r="179" spans="1:12" x14ac:dyDescent="0.25">
      <c r="A179" s="146"/>
      <c r="J179" s="118"/>
      <c r="L179" s="118"/>
    </row>
    <row r="180" spans="1:12" x14ac:dyDescent="0.25">
      <c r="A180" s="146"/>
      <c r="J180" s="118"/>
      <c r="L180" s="118"/>
    </row>
    <row r="181" spans="1:12" x14ac:dyDescent="0.25">
      <c r="A181" s="146"/>
      <c r="J181" s="118"/>
      <c r="L181" s="118"/>
    </row>
    <row r="182" spans="1:12" x14ac:dyDescent="0.25">
      <c r="A182" s="146"/>
      <c r="J182" s="118"/>
      <c r="L182" s="118"/>
    </row>
    <row r="183" spans="1:12" x14ac:dyDescent="0.25">
      <c r="A183" s="146"/>
      <c r="J183" s="118"/>
      <c r="L183" s="118"/>
    </row>
    <row r="184" spans="1:12" x14ac:dyDescent="0.25">
      <c r="A184" s="146"/>
      <c r="J184" s="118"/>
      <c r="L184" s="118"/>
    </row>
    <row r="185" spans="1:12" x14ac:dyDescent="0.25">
      <c r="A185" s="146"/>
      <c r="J185" s="118"/>
      <c r="L185" s="118"/>
    </row>
    <row r="186" spans="1:12" x14ac:dyDescent="0.25">
      <c r="A186" s="146"/>
      <c r="J186" s="118"/>
      <c r="L186" s="118"/>
    </row>
    <row r="187" spans="1:12" x14ac:dyDescent="0.25">
      <c r="A187" s="146"/>
      <c r="J187" s="118"/>
      <c r="L187" s="118"/>
    </row>
    <row r="188" spans="1:12" x14ac:dyDescent="0.25">
      <c r="A188" s="146"/>
      <c r="J188" s="118"/>
      <c r="L188" s="118"/>
    </row>
    <row r="189" spans="1:12" x14ac:dyDescent="0.25">
      <c r="A189" s="146"/>
      <c r="J189" s="118"/>
      <c r="L189" s="118"/>
    </row>
    <row r="190" spans="1:12" x14ac:dyDescent="0.25">
      <c r="A190" s="146"/>
      <c r="J190" s="118"/>
      <c r="L190" s="118"/>
    </row>
    <row r="191" spans="1:12" x14ac:dyDescent="0.25">
      <c r="A191" s="146"/>
      <c r="J191" s="118"/>
      <c r="L191" s="118"/>
    </row>
    <row r="192" spans="1:12" x14ac:dyDescent="0.25">
      <c r="A192" s="146"/>
      <c r="J192" s="118"/>
      <c r="L192" s="118"/>
    </row>
    <row r="193" spans="1:12" x14ac:dyDescent="0.25">
      <c r="A193" s="146"/>
      <c r="J193" s="118"/>
      <c r="L193" s="118"/>
    </row>
    <row r="194" spans="1:12" x14ac:dyDescent="0.25">
      <c r="A194" s="146"/>
      <c r="J194" s="118"/>
      <c r="L194" s="118"/>
    </row>
    <row r="195" spans="1:12" x14ac:dyDescent="0.25">
      <c r="A195" s="146"/>
      <c r="J195" s="118"/>
      <c r="L195" s="118"/>
    </row>
    <row r="196" spans="1:12" x14ac:dyDescent="0.25">
      <c r="A196" s="146"/>
      <c r="J196" s="118"/>
      <c r="L196" s="118"/>
    </row>
    <row r="197" spans="1:12" x14ac:dyDescent="0.25">
      <c r="A197" s="146"/>
      <c r="J197" s="118"/>
      <c r="L197" s="118"/>
    </row>
    <row r="198" spans="1:12" x14ac:dyDescent="0.25">
      <c r="A198" s="146"/>
      <c r="J198" s="118"/>
      <c r="L198" s="118"/>
    </row>
    <row r="199" spans="1:12" x14ac:dyDescent="0.25">
      <c r="A199" s="146"/>
      <c r="J199" s="118"/>
      <c r="L199" s="118"/>
    </row>
    <row r="200" spans="1:12" x14ac:dyDescent="0.25">
      <c r="A200" s="146"/>
      <c r="J200" s="118"/>
      <c r="L200" s="118"/>
    </row>
    <row r="201" spans="1:12" x14ac:dyDescent="0.25">
      <c r="A201" s="146"/>
      <c r="J201" s="118"/>
      <c r="L201" s="118"/>
    </row>
    <row r="202" spans="1:12" x14ac:dyDescent="0.25">
      <c r="A202" s="146"/>
      <c r="J202" s="118"/>
      <c r="L202" s="118"/>
    </row>
    <row r="203" spans="1:12" x14ac:dyDescent="0.25">
      <c r="A203" s="146"/>
      <c r="J203" s="118"/>
      <c r="L203" s="118"/>
    </row>
    <row r="204" spans="1:12" x14ac:dyDescent="0.25">
      <c r="A204" s="146"/>
      <c r="J204" s="118"/>
      <c r="L204" s="118"/>
    </row>
    <row r="205" spans="1:12" x14ac:dyDescent="0.25">
      <c r="A205" s="146"/>
      <c r="J205" s="118"/>
      <c r="L205" s="118"/>
    </row>
    <row r="206" spans="1:12" x14ac:dyDescent="0.25">
      <c r="A206" s="146"/>
      <c r="J206" s="118"/>
      <c r="L206" s="118"/>
    </row>
    <row r="207" spans="1:12" x14ac:dyDescent="0.25">
      <c r="A207" s="146"/>
      <c r="J207" s="118"/>
      <c r="L207" s="118"/>
    </row>
    <row r="208" spans="1:12" x14ac:dyDescent="0.25">
      <c r="A208" s="146"/>
      <c r="J208" s="118"/>
      <c r="L208" s="118"/>
    </row>
    <row r="209" spans="1:12" x14ac:dyDescent="0.25">
      <c r="A209" s="146"/>
      <c r="J209" s="118"/>
      <c r="L209" s="118"/>
    </row>
    <row r="210" spans="1:12" x14ac:dyDescent="0.25">
      <c r="A210" s="146"/>
      <c r="J210" s="118"/>
      <c r="L210" s="118"/>
    </row>
    <row r="211" spans="1:12" x14ac:dyDescent="0.25">
      <c r="A211" s="146"/>
      <c r="J211" s="118"/>
      <c r="L211" s="118"/>
    </row>
    <row r="212" spans="1:12" x14ac:dyDescent="0.25">
      <c r="A212" s="146"/>
      <c r="J212" s="118"/>
      <c r="L212" s="118"/>
    </row>
    <row r="213" spans="1:12" x14ac:dyDescent="0.25">
      <c r="A213" s="146"/>
      <c r="J213" s="118"/>
      <c r="L213" s="118"/>
    </row>
    <row r="214" spans="1:12" x14ac:dyDescent="0.25">
      <c r="A214" s="146"/>
      <c r="J214" s="118"/>
      <c r="L214" s="118"/>
    </row>
    <row r="215" spans="1:12" x14ac:dyDescent="0.25">
      <c r="A215" s="146"/>
      <c r="J215" s="118"/>
    </row>
    <row r="216" spans="1:12" x14ac:dyDescent="0.25">
      <c r="A216" s="146"/>
      <c r="J216" s="118"/>
    </row>
    <row r="217" spans="1:12" x14ac:dyDescent="0.25">
      <c r="A217" s="146"/>
      <c r="J217" s="118"/>
    </row>
    <row r="218" spans="1:12" x14ac:dyDescent="0.25">
      <c r="A218" s="146"/>
      <c r="J218" s="118"/>
    </row>
    <row r="219" spans="1:12" x14ac:dyDescent="0.25">
      <c r="A219" s="146"/>
      <c r="J219" s="142"/>
    </row>
    <row r="220" spans="1:12" x14ac:dyDescent="0.25">
      <c r="A220" s="146"/>
      <c r="J220" s="142"/>
    </row>
    <row r="221" spans="1:12" x14ac:dyDescent="0.25">
      <c r="A221" s="146"/>
      <c r="J221" s="142"/>
    </row>
    <row r="222" spans="1:12" x14ac:dyDescent="0.25">
      <c r="A222" s="146"/>
      <c r="J222" s="142"/>
    </row>
    <row r="223" spans="1:12" x14ac:dyDescent="0.25">
      <c r="A223" s="146"/>
      <c r="J223" s="142"/>
    </row>
    <row r="224" spans="1:12" x14ac:dyDescent="0.25">
      <c r="A224" s="146"/>
      <c r="J224" s="142"/>
    </row>
    <row r="225" spans="1:10" x14ac:dyDescent="0.25">
      <c r="A225" s="146"/>
      <c r="J225" s="142"/>
    </row>
    <row r="226" spans="1:10" x14ac:dyDescent="0.25">
      <c r="A226" s="146"/>
      <c r="J226" s="142"/>
    </row>
    <row r="227" spans="1:10" x14ac:dyDescent="0.25">
      <c r="A227" s="146"/>
      <c r="J227" s="142"/>
    </row>
    <row r="228" spans="1:10" x14ac:dyDescent="0.25">
      <c r="A228" s="146"/>
      <c r="J228" s="142"/>
    </row>
    <row r="229" spans="1:10" x14ac:dyDescent="0.25">
      <c r="A229" s="146"/>
      <c r="J229" s="142"/>
    </row>
    <row r="230" spans="1:10" x14ac:dyDescent="0.25">
      <c r="A230" s="146"/>
      <c r="J230" s="142"/>
    </row>
    <row r="231" spans="1:10" x14ac:dyDescent="0.25">
      <c r="A231" s="146"/>
      <c r="J231" s="142"/>
    </row>
    <row r="232" spans="1:10" x14ac:dyDescent="0.25">
      <c r="A232" s="146"/>
      <c r="J232" s="142"/>
    </row>
    <row r="233" spans="1:10" x14ac:dyDescent="0.25">
      <c r="A233" s="146"/>
      <c r="J233" s="142"/>
    </row>
    <row r="234" spans="1:10" x14ac:dyDescent="0.25">
      <c r="A234" s="146"/>
      <c r="J234" s="142"/>
    </row>
    <row r="235" spans="1:10" x14ac:dyDescent="0.25">
      <c r="A235" s="146"/>
      <c r="J235" s="142"/>
    </row>
    <row r="236" spans="1:10" x14ac:dyDescent="0.25">
      <c r="A236" s="146"/>
      <c r="J236" s="142"/>
    </row>
    <row r="237" spans="1:10" x14ac:dyDescent="0.25">
      <c r="A237" s="146"/>
      <c r="J237" s="142"/>
    </row>
    <row r="238" spans="1:10" x14ac:dyDescent="0.25">
      <c r="A238" s="146"/>
      <c r="J238" s="142"/>
    </row>
    <row r="239" spans="1:10" x14ac:dyDescent="0.25">
      <c r="A239" s="146"/>
      <c r="J239" s="142"/>
    </row>
    <row r="240" spans="1:10" x14ac:dyDescent="0.25">
      <c r="A240" s="146"/>
      <c r="J240" s="142"/>
    </row>
    <row r="241" spans="1:10" x14ac:dyDescent="0.25">
      <c r="A241" s="146"/>
      <c r="J241" s="142"/>
    </row>
    <row r="242" spans="1:10" x14ac:dyDescent="0.25">
      <c r="A242" s="146"/>
      <c r="J242" s="142"/>
    </row>
    <row r="243" spans="1:10" x14ac:dyDescent="0.25">
      <c r="A243" s="146"/>
      <c r="J243" s="142"/>
    </row>
    <row r="244" spans="1:10" x14ac:dyDescent="0.25">
      <c r="A244" s="146"/>
      <c r="J244" s="142"/>
    </row>
    <row r="245" spans="1:10" x14ac:dyDescent="0.25">
      <c r="A245" s="146"/>
      <c r="J245" s="142"/>
    </row>
    <row r="246" spans="1:10" x14ac:dyDescent="0.25">
      <c r="A246" s="146"/>
      <c r="J246" s="142"/>
    </row>
    <row r="247" spans="1:10" x14ac:dyDescent="0.25">
      <c r="A247" s="146"/>
      <c r="J247" s="142"/>
    </row>
    <row r="248" spans="1:10" x14ac:dyDescent="0.25">
      <c r="A248" s="146"/>
      <c r="J248" s="142"/>
    </row>
    <row r="249" spans="1:10" x14ac:dyDescent="0.25">
      <c r="A249" s="146"/>
      <c r="J249" s="142"/>
    </row>
    <row r="250" spans="1:10" x14ac:dyDescent="0.25">
      <c r="A250" s="146"/>
      <c r="J250" s="142"/>
    </row>
    <row r="251" spans="1:10" x14ac:dyDescent="0.25">
      <c r="A251" s="146"/>
      <c r="J251" s="142"/>
    </row>
    <row r="252" spans="1:10" x14ac:dyDescent="0.25">
      <c r="A252" s="146"/>
      <c r="J252" s="142"/>
    </row>
    <row r="253" spans="1:10" x14ac:dyDescent="0.25">
      <c r="A253" s="146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style="156" customWidth="1"/>
    <col min="6" max="11" width="10.54296875" customWidth="1"/>
  </cols>
  <sheetData>
    <row r="1" spans="1:8" x14ac:dyDescent="0.25">
      <c r="A1" s="129"/>
      <c r="B1" s="156" t="s">
        <v>175</v>
      </c>
      <c r="C1" s="156" t="s">
        <v>177</v>
      </c>
      <c r="D1" s="156" t="s">
        <v>181</v>
      </c>
      <c r="E1" s="156" t="s">
        <v>181</v>
      </c>
      <c r="F1" s="129"/>
      <c r="H1" s="13"/>
    </row>
    <row r="2" spans="1:8" x14ac:dyDescent="0.25">
      <c r="B2" s="156" t="s">
        <v>176</v>
      </c>
      <c r="C2" s="156" t="s">
        <v>178</v>
      </c>
      <c r="D2" s="156" t="s">
        <v>180</v>
      </c>
      <c r="E2" s="156" t="s">
        <v>179</v>
      </c>
      <c r="F2" s="140"/>
      <c r="H2" s="13"/>
    </row>
    <row r="3" spans="1:8" x14ac:dyDescent="0.25">
      <c r="B3" s="156" t="s">
        <v>174</v>
      </c>
      <c r="C3" s="156" t="s">
        <v>174</v>
      </c>
      <c r="D3" s="156" t="s">
        <v>174</v>
      </c>
      <c r="F3" s="121"/>
      <c r="H3" s="13"/>
    </row>
    <row r="4" spans="1:8" x14ac:dyDescent="0.25">
      <c r="A4" s="163">
        <v>40817</v>
      </c>
      <c r="B4" s="156">
        <v>970</v>
      </c>
      <c r="C4" s="156">
        <v>1129</v>
      </c>
      <c r="D4" s="156">
        <v>1275</v>
      </c>
      <c r="E4" s="156">
        <v>1212</v>
      </c>
      <c r="F4" s="121"/>
    </row>
    <row r="5" spans="1:8" x14ac:dyDescent="0.25">
      <c r="A5" s="163">
        <v>40848</v>
      </c>
      <c r="B5" s="156">
        <v>1034</v>
      </c>
      <c r="C5" s="156">
        <v>1136</v>
      </c>
      <c r="D5" s="156">
        <v>1290</v>
      </c>
      <c r="E5" s="156">
        <v>1248</v>
      </c>
      <c r="F5" s="121"/>
    </row>
    <row r="6" spans="1:8" x14ac:dyDescent="0.25">
      <c r="A6" s="163">
        <v>40878</v>
      </c>
      <c r="B6" s="156">
        <v>1053</v>
      </c>
      <c r="C6" s="156">
        <v>1111</v>
      </c>
      <c r="D6" s="156">
        <v>1252</v>
      </c>
      <c r="E6" s="156">
        <v>1190</v>
      </c>
      <c r="F6" s="121"/>
    </row>
    <row r="7" spans="1:8" x14ac:dyDescent="0.25">
      <c r="A7" s="163">
        <v>40909</v>
      </c>
      <c r="B7" s="156">
        <v>1056</v>
      </c>
      <c r="C7" s="156">
        <v>1133</v>
      </c>
      <c r="D7" s="156">
        <v>1257</v>
      </c>
      <c r="E7" s="156">
        <v>1208</v>
      </c>
      <c r="F7" s="121"/>
    </row>
    <row r="8" spans="1:8" x14ac:dyDescent="0.25">
      <c r="A8" s="163">
        <v>40940</v>
      </c>
      <c r="B8" s="156">
        <v>1070</v>
      </c>
      <c r="C8" s="156">
        <v>1175</v>
      </c>
      <c r="D8" s="156">
        <v>1295</v>
      </c>
      <c r="E8" s="156">
        <v>1249</v>
      </c>
      <c r="F8" s="121"/>
    </row>
    <row r="9" spans="1:8" x14ac:dyDescent="0.25">
      <c r="A9" s="163">
        <v>40969</v>
      </c>
      <c r="B9" s="156">
        <v>1126</v>
      </c>
      <c r="C9" s="156">
        <v>1190</v>
      </c>
      <c r="D9" s="156">
        <v>1292</v>
      </c>
      <c r="E9" s="156">
        <v>1266</v>
      </c>
      <c r="F9" s="121"/>
    </row>
    <row r="10" spans="1:8" x14ac:dyDescent="0.25">
      <c r="A10" s="163">
        <v>41000</v>
      </c>
      <c r="B10" s="156">
        <v>1166</v>
      </c>
      <c r="C10" s="156">
        <v>1245</v>
      </c>
      <c r="D10" s="156">
        <v>1305</v>
      </c>
      <c r="E10" s="156">
        <v>1324</v>
      </c>
      <c r="F10" s="121"/>
    </row>
    <row r="11" spans="1:8" x14ac:dyDescent="0.25">
      <c r="A11" s="163">
        <v>41030</v>
      </c>
      <c r="B11" s="156">
        <v>1062</v>
      </c>
      <c r="C11" s="156">
        <v>1150</v>
      </c>
      <c r="D11" s="156">
        <v>1235</v>
      </c>
      <c r="E11" s="156">
        <v>1275</v>
      </c>
      <c r="F11" s="121"/>
    </row>
    <row r="12" spans="1:8" x14ac:dyDescent="0.25">
      <c r="A12" s="163">
        <v>41061</v>
      </c>
      <c r="B12" s="156">
        <v>965</v>
      </c>
      <c r="C12" s="156">
        <v>1113</v>
      </c>
      <c r="D12" s="156">
        <v>1185</v>
      </c>
      <c r="E12" s="156">
        <v>1192</v>
      </c>
      <c r="F12" s="121"/>
    </row>
    <row r="13" spans="1:8" x14ac:dyDescent="0.25">
      <c r="A13" s="163">
        <v>41091</v>
      </c>
      <c r="B13" s="156">
        <v>990</v>
      </c>
      <c r="C13" s="156">
        <v>1188</v>
      </c>
      <c r="D13" s="156">
        <v>1212</v>
      </c>
      <c r="E13" s="156">
        <v>1258</v>
      </c>
      <c r="F13" s="121"/>
    </row>
    <row r="14" spans="1:8" x14ac:dyDescent="0.25">
      <c r="A14" s="163">
        <v>41122</v>
      </c>
      <c r="B14" s="156">
        <v>960</v>
      </c>
      <c r="C14" s="156">
        <v>1199</v>
      </c>
      <c r="D14" s="156">
        <v>1232</v>
      </c>
      <c r="E14" s="156">
        <v>1300</v>
      </c>
      <c r="F14" s="121"/>
    </row>
    <row r="15" spans="1:8" x14ac:dyDescent="0.25">
      <c r="A15" s="163">
        <v>41153</v>
      </c>
      <c r="B15" s="156">
        <v>935</v>
      </c>
      <c r="C15" s="156">
        <v>1201</v>
      </c>
      <c r="D15" s="156">
        <v>1271</v>
      </c>
      <c r="E15" s="156">
        <v>1331</v>
      </c>
      <c r="F15" s="121"/>
    </row>
    <row r="16" spans="1:8" x14ac:dyDescent="0.25">
      <c r="A16" s="163">
        <v>41183</v>
      </c>
      <c r="B16" s="156">
        <v>823</v>
      </c>
      <c r="C16" s="156">
        <v>1092</v>
      </c>
      <c r="D16" s="156">
        <v>1217</v>
      </c>
      <c r="E16" s="156">
        <v>1245</v>
      </c>
    </row>
    <row r="17" spans="1:5" x14ac:dyDescent="0.25">
      <c r="A17" s="163">
        <v>41214</v>
      </c>
      <c r="B17" s="156">
        <v>799</v>
      </c>
      <c r="C17" s="156">
        <v>1084</v>
      </c>
      <c r="D17" s="156">
        <v>1188</v>
      </c>
      <c r="E17" s="156">
        <v>1237</v>
      </c>
    </row>
    <row r="18" spans="1:5" x14ac:dyDescent="0.25">
      <c r="A18" s="163">
        <v>41244</v>
      </c>
      <c r="B18" s="156">
        <v>763</v>
      </c>
      <c r="C18" s="156">
        <v>1112</v>
      </c>
      <c r="D18" s="156">
        <v>1190</v>
      </c>
      <c r="E18" s="156">
        <v>1269</v>
      </c>
    </row>
    <row r="19" spans="1:5" x14ac:dyDescent="0.25">
      <c r="A19" s="163">
        <v>41275</v>
      </c>
      <c r="B19" s="156">
        <v>812</v>
      </c>
      <c r="C19" s="156">
        <v>1134</v>
      </c>
      <c r="D19" s="156">
        <v>1214</v>
      </c>
      <c r="E19" s="156">
        <v>1269</v>
      </c>
    </row>
    <row r="20" spans="1:5" x14ac:dyDescent="0.25">
      <c r="A20" s="163">
        <v>41306</v>
      </c>
      <c r="B20" s="156">
        <v>828</v>
      </c>
      <c r="C20" s="156">
        <v>1117</v>
      </c>
      <c r="D20" s="156">
        <v>1225</v>
      </c>
      <c r="E20" s="156">
        <v>1275</v>
      </c>
    </row>
    <row r="21" spans="1:5" x14ac:dyDescent="0.25">
      <c r="A21" s="163">
        <v>41334</v>
      </c>
      <c r="B21" s="156">
        <v>804</v>
      </c>
      <c r="C21" s="156">
        <v>1039</v>
      </c>
      <c r="D21" s="156">
        <v>1162</v>
      </c>
      <c r="E21" s="156">
        <v>1221</v>
      </c>
    </row>
    <row r="22" spans="1:5" x14ac:dyDescent="0.25">
      <c r="A22" s="163">
        <v>41365</v>
      </c>
      <c r="B22" s="156">
        <v>793</v>
      </c>
      <c r="C22" s="156">
        <v>1012</v>
      </c>
      <c r="D22" s="156">
        <v>1136</v>
      </c>
      <c r="E22" s="156">
        <v>1201</v>
      </c>
    </row>
    <row r="23" spans="1:5" x14ac:dyDescent="0.25">
      <c r="A23" s="163">
        <v>41395</v>
      </c>
      <c r="B23" s="156">
        <v>795</v>
      </c>
      <c r="C23" s="156">
        <v>991</v>
      </c>
      <c r="D23" s="156">
        <v>1116</v>
      </c>
      <c r="E23" s="156">
        <v>1227</v>
      </c>
    </row>
    <row r="24" spans="1:5" x14ac:dyDescent="0.25">
      <c r="A24" s="163">
        <v>41426</v>
      </c>
      <c r="B24" s="156">
        <v>796</v>
      </c>
      <c r="C24" s="156">
        <v>944</v>
      </c>
      <c r="D24" s="156">
        <v>1078</v>
      </c>
      <c r="E24" s="156">
        <v>1228</v>
      </c>
    </row>
    <row r="25" spans="1:5" x14ac:dyDescent="0.25">
      <c r="A25" s="163">
        <v>41456</v>
      </c>
      <c r="B25" s="156">
        <v>765</v>
      </c>
      <c r="C25" s="156">
        <v>879</v>
      </c>
      <c r="D25" s="156">
        <v>1012</v>
      </c>
      <c r="E25" s="156">
        <v>1178</v>
      </c>
    </row>
    <row r="26" spans="1:5" x14ac:dyDescent="0.25">
      <c r="A26" s="163">
        <v>41487</v>
      </c>
      <c r="B26" s="156">
        <v>757</v>
      </c>
      <c r="C26" s="156">
        <v>875</v>
      </c>
      <c r="D26" s="156">
        <v>997</v>
      </c>
      <c r="E26" s="156">
        <v>959</v>
      </c>
    </row>
    <row r="27" spans="1:5" x14ac:dyDescent="0.25">
      <c r="A27" s="163">
        <v>41518</v>
      </c>
      <c r="B27" s="156">
        <v>760</v>
      </c>
      <c r="C27" s="156">
        <v>887</v>
      </c>
      <c r="D27" s="156">
        <v>994</v>
      </c>
      <c r="E27" s="156">
        <v>962</v>
      </c>
    </row>
    <row r="28" spans="1:5" x14ac:dyDescent="0.25">
      <c r="A28" s="163">
        <v>41548</v>
      </c>
      <c r="B28" s="156">
        <v>795</v>
      </c>
      <c r="C28" s="156">
        <v>908</v>
      </c>
      <c r="D28" s="156">
        <v>1011</v>
      </c>
      <c r="E28" s="156">
        <v>988</v>
      </c>
    </row>
    <row r="29" spans="1:5" x14ac:dyDescent="0.25">
      <c r="A29" s="163">
        <v>41579</v>
      </c>
      <c r="B29" s="156">
        <v>835</v>
      </c>
      <c r="C29" s="156">
        <v>932</v>
      </c>
      <c r="D29" s="156">
        <v>1025</v>
      </c>
      <c r="E29" s="156">
        <v>998</v>
      </c>
    </row>
    <row r="30" spans="1:5" x14ac:dyDescent="0.25">
      <c r="A30" s="163">
        <v>41609</v>
      </c>
      <c r="B30" s="156">
        <v>813</v>
      </c>
      <c r="C30" s="156">
        <v>895</v>
      </c>
      <c r="D30" s="156">
        <v>1012</v>
      </c>
      <c r="E30" s="156">
        <v>982</v>
      </c>
    </row>
    <row r="31" spans="1:5" x14ac:dyDescent="0.25">
      <c r="A31" s="163">
        <v>41640</v>
      </c>
      <c r="B31" s="156">
        <v>796</v>
      </c>
      <c r="C31" s="156">
        <v>848</v>
      </c>
      <c r="D31" s="156">
        <v>952</v>
      </c>
      <c r="E31" s="156">
        <v>920</v>
      </c>
    </row>
    <row r="32" spans="1:5" x14ac:dyDescent="0.25">
      <c r="A32" s="163">
        <v>41671</v>
      </c>
      <c r="B32" s="156">
        <v>846</v>
      </c>
      <c r="C32" s="156">
        <v>879</v>
      </c>
      <c r="D32" s="156">
        <v>976</v>
      </c>
      <c r="E32" s="156">
        <v>945</v>
      </c>
    </row>
    <row r="33" spans="1:5" x14ac:dyDescent="0.25">
      <c r="A33" s="163">
        <v>41699</v>
      </c>
      <c r="B33" s="156">
        <v>890</v>
      </c>
      <c r="C33" s="156">
        <v>904</v>
      </c>
      <c r="D33" s="156">
        <v>1019</v>
      </c>
      <c r="E33" s="156">
        <v>964</v>
      </c>
    </row>
    <row r="34" spans="1:5" x14ac:dyDescent="0.25">
      <c r="A34" s="163">
        <v>41730</v>
      </c>
      <c r="B34" s="156">
        <v>858</v>
      </c>
      <c r="C34" s="156">
        <v>880</v>
      </c>
      <c r="D34" s="156">
        <v>1018</v>
      </c>
      <c r="E34" s="156">
        <v>941</v>
      </c>
    </row>
    <row r="35" spans="1:5" x14ac:dyDescent="0.25">
      <c r="A35" s="163">
        <v>41760</v>
      </c>
      <c r="B35" s="156">
        <v>828</v>
      </c>
      <c r="C35" s="156">
        <v>861</v>
      </c>
      <c r="D35" s="156">
        <v>958</v>
      </c>
      <c r="E35" s="156">
        <v>943</v>
      </c>
    </row>
    <row r="36" spans="1:5" x14ac:dyDescent="0.25">
      <c r="A36" s="163">
        <v>41791</v>
      </c>
      <c r="B36" s="156">
        <v>793</v>
      </c>
      <c r="C36" s="156">
        <v>879</v>
      </c>
      <c r="D36" s="156">
        <v>922</v>
      </c>
      <c r="E36" s="156">
        <v>928</v>
      </c>
    </row>
    <row r="37" spans="1:5" x14ac:dyDescent="0.25">
      <c r="A37" s="163">
        <v>41821</v>
      </c>
      <c r="B37" s="156">
        <v>782</v>
      </c>
      <c r="C37" s="156">
        <v>858</v>
      </c>
      <c r="D37" s="156">
        <v>875</v>
      </c>
      <c r="E37" s="156">
        <v>887</v>
      </c>
    </row>
    <row r="38" spans="1:5" x14ac:dyDescent="0.25">
      <c r="A38" s="163">
        <v>41852</v>
      </c>
      <c r="B38" s="156">
        <v>701</v>
      </c>
      <c r="C38" s="156">
        <v>825</v>
      </c>
      <c r="D38" s="156">
        <v>853</v>
      </c>
      <c r="E38" s="156">
        <v>828</v>
      </c>
    </row>
    <row r="39" spans="1:5" x14ac:dyDescent="0.25">
      <c r="A39" s="163">
        <v>41883</v>
      </c>
      <c r="B39" s="156">
        <v>694</v>
      </c>
      <c r="C39" s="156">
        <v>772</v>
      </c>
      <c r="D39" s="156">
        <v>828</v>
      </c>
      <c r="E39" s="156">
        <v>823</v>
      </c>
    </row>
    <row r="40" spans="1:5" x14ac:dyDescent="0.25">
      <c r="A40" s="163">
        <v>41913</v>
      </c>
      <c r="B40" s="156">
        <v>693</v>
      </c>
      <c r="C40" s="156">
        <v>770</v>
      </c>
      <c r="D40" s="156">
        <v>836</v>
      </c>
      <c r="E40" s="156">
        <v>874</v>
      </c>
    </row>
    <row r="41" spans="1:5" x14ac:dyDescent="0.25">
      <c r="A41" s="163">
        <v>41944</v>
      </c>
      <c r="B41" s="156">
        <v>693</v>
      </c>
      <c r="C41" s="156">
        <v>772</v>
      </c>
      <c r="D41" s="156">
        <v>836</v>
      </c>
      <c r="E41" s="156">
        <v>892</v>
      </c>
    </row>
    <row r="42" spans="1:5" x14ac:dyDescent="0.25">
      <c r="A42" s="163">
        <v>41974</v>
      </c>
      <c r="B42" s="156">
        <v>656</v>
      </c>
      <c r="C42" s="156">
        <v>772</v>
      </c>
      <c r="D42" s="156">
        <v>814</v>
      </c>
      <c r="E42" s="156">
        <v>877</v>
      </c>
    </row>
    <row r="43" spans="1:5" x14ac:dyDescent="0.25">
      <c r="A43" s="163">
        <v>42005</v>
      </c>
      <c r="B43" s="156">
        <v>652</v>
      </c>
      <c r="C43" s="156">
        <v>784</v>
      </c>
      <c r="D43" s="156">
        <v>773</v>
      </c>
      <c r="E43" s="156">
        <v>837</v>
      </c>
    </row>
    <row r="44" spans="1:5" x14ac:dyDescent="0.25">
      <c r="A44" s="163">
        <v>42036</v>
      </c>
      <c r="B44" s="156">
        <v>662</v>
      </c>
      <c r="C44" s="156">
        <v>723</v>
      </c>
      <c r="D44" s="156">
        <v>751</v>
      </c>
      <c r="E44" s="156">
        <v>802</v>
      </c>
    </row>
    <row r="45" spans="1:5" x14ac:dyDescent="0.25">
      <c r="A45" s="163">
        <v>42064</v>
      </c>
      <c r="B45" s="156">
        <v>629</v>
      </c>
      <c r="C45" s="156">
        <v>663</v>
      </c>
      <c r="D45" s="156">
        <v>749</v>
      </c>
      <c r="E45" s="156">
        <v>801</v>
      </c>
    </row>
    <row r="46" spans="1:5" x14ac:dyDescent="0.25">
      <c r="A46" s="163">
        <v>42095</v>
      </c>
      <c r="B46" s="156">
        <v>610</v>
      </c>
      <c r="C46" s="156">
        <v>665</v>
      </c>
      <c r="D46" s="156">
        <v>742</v>
      </c>
      <c r="E46" s="156">
        <v>838</v>
      </c>
    </row>
    <row r="47" spans="1:5" x14ac:dyDescent="0.25">
      <c r="A47" s="163">
        <v>42125</v>
      </c>
      <c r="B47" s="156">
        <v>628</v>
      </c>
      <c r="C47" s="156">
        <v>701</v>
      </c>
      <c r="D47" s="156">
        <v>766</v>
      </c>
      <c r="E47" s="156">
        <v>904</v>
      </c>
    </row>
    <row r="48" spans="1:5" x14ac:dyDescent="0.25">
      <c r="A48" s="163">
        <v>42156</v>
      </c>
      <c r="B48" s="156">
        <v>638</v>
      </c>
      <c r="C48" s="156">
        <v>708</v>
      </c>
      <c r="D48" s="156">
        <v>806</v>
      </c>
      <c r="E48" s="156">
        <v>918</v>
      </c>
    </row>
    <row r="49" spans="1:5" x14ac:dyDescent="0.25">
      <c r="A49" s="163">
        <v>42186</v>
      </c>
      <c r="B49" s="156">
        <v>610</v>
      </c>
      <c r="C49" s="156">
        <v>652</v>
      </c>
      <c r="D49" s="156">
        <v>786</v>
      </c>
      <c r="E49" s="156">
        <v>832</v>
      </c>
    </row>
    <row r="50" spans="1:5" x14ac:dyDescent="0.25">
      <c r="A50" s="163">
        <v>42217</v>
      </c>
      <c r="B50" s="156">
        <v>524</v>
      </c>
      <c r="C50" s="156">
        <v>632</v>
      </c>
      <c r="D50" s="156">
        <v>755</v>
      </c>
      <c r="E50" s="156">
        <v>812</v>
      </c>
    </row>
    <row r="51" spans="1:5" x14ac:dyDescent="0.25">
      <c r="A51" s="163">
        <v>42248</v>
      </c>
      <c r="B51" s="156">
        <v>521</v>
      </c>
      <c r="C51" s="156">
        <v>616</v>
      </c>
      <c r="D51" s="156">
        <v>766</v>
      </c>
      <c r="E51" s="156">
        <v>815</v>
      </c>
    </row>
    <row r="52" spans="1:5" x14ac:dyDescent="0.25">
      <c r="A52" s="163">
        <v>42278</v>
      </c>
      <c r="B52" s="156">
        <v>565</v>
      </c>
      <c r="C52" s="156">
        <v>665</v>
      </c>
      <c r="D52" s="156">
        <v>802</v>
      </c>
      <c r="E52" s="156">
        <v>883</v>
      </c>
    </row>
    <row r="53" spans="1:5" x14ac:dyDescent="0.25">
      <c r="A53" s="163">
        <v>42309</v>
      </c>
      <c r="B53" s="156">
        <v>541</v>
      </c>
      <c r="C53" s="156">
        <v>675</v>
      </c>
      <c r="D53" s="156">
        <v>790</v>
      </c>
      <c r="E53" s="156">
        <v>862</v>
      </c>
    </row>
    <row r="54" spans="1:5" x14ac:dyDescent="0.25">
      <c r="A54" s="163">
        <v>42339</v>
      </c>
      <c r="B54" s="156">
        <v>539</v>
      </c>
      <c r="C54" s="156">
        <v>680</v>
      </c>
      <c r="D54" s="156">
        <v>818</v>
      </c>
      <c r="E54" s="156">
        <v>852</v>
      </c>
    </row>
    <row r="55" spans="1:5" x14ac:dyDescent="0.25">
      <c r="A55" s="163">
        <v>42370</v>
      </c>
      <c r="B55" s="156">
        <v>550</v>
      </c>
      <c r="C55" s="156">
        <v>651</v>
      </c>
      <c r="D55" s="156">
        <v>777</v>
      </c>
      <c r="E55" s="156">
        <v>846</v>
      </c>
    </row>
    <row r="56" spans="1:5" x14ac:dyDescent="0.25">
      <c r="A56" s="163">
        <v>42401</v>
      </c>
      <c r="B56" s="156">
        <v>613</v>
      </c>
      <c r="C56" s="156">
        <v>675</v>
      </c>
      <c r="D56" s="156">
        <v>781</v>
      </c>
      <c r="E56" s="156">
        <v>869</v>
      </c>
    </row>
    <row r="57" spans="1:5" x14ac:dyDescent="0.25">
      <c r="A57" s="163">
        <v>42430</v>
      </c>
      <c r="B57" s="156">
        <v>654</v>
      </c>
      <c r="C57" s="156">
        <v>687</v>
      </c>
      <c r="D57" s="156">
        <v>768</v>
      </c>
      <c r="E57" s="156">
        <v>842</v>
      </c>
    </row>
    <row r="58" spans="1:5" x14ac:dyDescent="0.25">
      <c r="A58" s="163">
        <v>42461</v>
      </c>
      <c r="B58" s="156">
        <v>707</v>
      </c>
      <c r="C58" s="156">
        <v>731</v>
      </c>
      <c r="D58" s="156">
        <v>811</v>
      </c>
      <c r="E58" s="156">
        <v>857</v>
      </c>
    </row>
    <row r="59" spans="1:5" x14ac:dyDescent="0.25">
      <c r="A59" s="163">
        <v>42491</v>
      </c>
      <c r="B59" s="156">
        <v>686</v>
      </c>
      <c r="C59" s="156">
        <v>710</v>
      </c>
      <c r="D59" s="156">
        <v>808</v>
      </c>
      <c r="E59" s="156">
        <v>868</v>
      </c>
    </row>
    <row r="60" spans="1:5" x14ac:dyDescent="0.25">
      <c r="A60" s="163">
        <v>42522</v>
      </c>
      <c r="B60" s="156">
        <v>640</v>
      </c>
      <c r="C60" s="156">
        <v>709</v>
      </c>
      <c r="D60" s="156">
        <v>792</v>
      </c>
      <c r="E60" s="156">
        <v>851</v>
      </c>
    </row>
    <row r="61" spans="1:5" x14ac:dyDescent="0.25">
      <c r="A61" s="163">
        <v>42552</v>
      </c>
      <c r="B61" s="156">
        <v>615</v>
      </c>
      <c r="C61" s="156">
        <v>688</v>
      </c>
      <c r="D61" s="156">
        <v>763</v>
      </c>
      <c r="E61" s="156">
        <v>816</v>
      </c>
    </row>
    <row r="62" spans="1:5" x14ac:dyDescent="0.25">
      <c r="A62" s="163">
        <v>42583</v>
      </c>
      <c r="B62" s="156">
        <v>704</v>
      </c>
      <c r="C62" s="156">
        <v>747</v>
      </c>
      <c r="D62" s="156">
        <v>819</v>
      </c>
      <c r="E62" s="156">
        <v>815</v>
      </c>
    </row>
    <row r="63" spans="1:5" x14ac:dyDescent="0.25">
      <c r="A63" s="163">
        <v>42614</v>
      </c>
      <c r="B63" s="156">
        <v>716</v>
      </c>
      <c r="C63" s="156">
        <v>752</v>
      </c>
      <c r="D63" s="156">
        <v>852</v>
      </c>
      <c r="E63" s="156">
        <v>823</v>
      </c>
    </row>
    <row r="64" spans="1:5" x14ac:dyDescent="0.25">
      <c r="A64" s="163">
        <v>42644</v>
      </c>
      <c r="B64" s="156">
        <v>677</v>
      </c>
      <c r="C64" s="156">
        <v>782</v>
      </c>
      <c r="D64" s="156">
        <v>896</v>
      </c>
      <c r="E64" s="156">
        <v>830</v>
      </c>
    </row>
    <row r="65" spans="1:5" x14ac:dyDescent="0.25">
      <c r="A65" s="163">
        <v>42675</v>
      </c>
      <c r="B65" s="156">
        <v>708</v>
      </c>
      <c r="C65" s="156">
        <v>796</v>
      </c>
      <c r="D65" s="156">
        <v>899</v>
      </c>
      <c r="E65" s="156">
        <v>830</v>
      </c>
    </row>
    <row r="66" spans="1:5" x14ac:dyDescent="0.25">
      <c r="A66" s="163">
        <v>42705</v>
      </c>
      <c r="B66" s="156">
        <v>745</v>
      </c>
      <c r="C66" s="156">
        <v>841</v>
      </c>
      <c r="D66" s="156">
        <v>918</v>
      </c>
      <c r="E66" s="156">
        <v>844</v>
      </c>
    </row>
    <row r="67" spans="1:5" x14ac:dyDescent="0.25">
      <c r="A67" s="163">
        <v>42736</v>
      </c>
      <c r="B67" s="156">
        <v>759</v>
      </c>
      <c r="C67" s="156">
        <v>812</v>
      </c>
      <c r="D67" s="156">
        <v>917</v>
      </c>
      <c r="E67" s="156">
        <v>817</v>
      </c>
    </row>
    <row r="68" spans="1:5" x14ac:dyDescent="0.25">
      <c r="A68" s="163">
        <v>42767</v>
      </c>
      <c r="B68" s="156">
        <v>740</v>
      </c>
      <c r="C68" s="156">
        <v>762</v>
      </c>
      <c r="D68" s="156">
        <v>878</v>
      </c>
      <c r="E68" s="156">
        <v>808</v>
      </c>
    </row>
    <row r="69" spans="1:5" x14ac:dyDescent="0.25">
      <c r="A69" s="163">
        <v>42795</v>
      </c>
      <c r="B69" s="156">
        <v>713</v>
      </c>
      <c r="C69" s="156">
        <v>712</v>
      </c>
      <c r="D69" s="156">
        <v>850</v>
      </c>
      <c r="E69" s="156">
        <v>783</v>
      </c>
    </row>
    <row r="70" spans="1:5" x14ac:dyDescent="0.25">
      <c r="A70" s="163">
        <v>42826</v>
      </c>
      <c r="B70" s="156">
        <v>681</v>
      </c>
      <c r="C70" s="156">
        <v>699</v>
      </c>
      <c r="D70" s="156">
        <v>824</v>
      </c>
      <c r="E70" s="156">
        <v>784</v>
      </c>
    </row>
    <row r="71" spans="1:5" x14ac:dyDescent="0.25">
      <c r="A71" s="163">
        <v>42856</v>
      </c>
      <c r="B71" s="156">
        <v>698</v>
      </c>
      <c r="C71" s="156">
        <v>734</v>
      </c>
      <c r="D71" s="156">
        <v>844</v>
      </c>
      <c r="E71" s="156">
        <v>797</v>
      </c>
    </row>
    <row r="72" spans="1:5" x14ac:dyDescent="0.25">
      <c r="A72" s="163">
        <v>42887</v>
      </c>
      <c r="B72" s="156">
        <v>670</v>
      </c>
      <c r="C72" s="156">
        <v>741</v>
      </c>
      <c r="D72" s="156">
        <v>813</v>
      </c>
      <c r="E72" s="156">
        <v>780</v>
      </c>
    </row>
    <row r="73" spans="1:5" x14ac:dyDescent="0.25">
      <c r="A73" s="163">
        <v>42917</v>
      </c>
      <c r="B73" s="156">
        <v>658</v>
      </c>
      <c r="C73" s="156">
        <v>744</v>
      </c>
      <c r="D73" s="156">
        <v>843</v>
      </c>
      <c r="E73" s="156">
        <v>793</v>
      </c>
    </row>
    <row r="74" spans="1:5" x14ac:dyDescent="0.25">
      <c r="A74" s="163">
        <v>42948</v>
      </c>
      <c r="B74" s="156">
        <v>651</v>
      </c>
      <c r="C74" s="156">
        <v>758</v>
      </c>
      <c r="D74" s="156">
        <v>875</v>
      </c>
      <c r="E74" s="156">
        <v>806</v>
      </c>
    </row>
    <row r="75" spans="1:5" x14ac:dyDescent="0.25">
      <c r="A75" s="163">
        <v>42979</v>
      </c>
      <c r="B75" s="156">
        <v>690</v>
      </c>
      <c r="C75" s="156">
        <v>779</v>
      </c>
      <c r="D75" s="156">
        <v>889</v>
      </c>
      <c r="E75" s="156">
        <v>810</v>
      </c>
    </row>
    <row r="76" spans="1:5" x14ac:dyDescent="0.25">
      <c r="A76" s="163">
        <v>43009</v>
      </c>
      <c r="B76" s="156">
        <v>681</v>
      </c>
      <c r="C76" s="156">
        <v>775</v>
      </c>
      <c r="D76" s="156">
        <v>889</v>
      </c>
      <c r="E76" s="156">
        <v>788</v>
      </c>
    </row>
    <row r="77" spans="1:5" x14ac:dyDescent="0.25">
      <c r="A77" s="163">
        <v>43040</v>
      </c>
      <c r="B77" s="156">
        <v>670</v>
      </c>
      <c r="C77" s="156">
        <v>786</v>
      </c>
      <c r="D77" s="156">
        <v>930</v>
      </c>
      <c r="E77" s="156">
        <v>795</v>
      </c>
    </row>
    <row r="78" spans="1:5" x14ac:dyDescent="0.25">
      <c r="A78" s="163">
        <v>43070</v>
      </c>
      <c r="B78" s="156">
        <v>619</v>
      </c>
      <c r="C78" s="156">
        <v>758</v>
      </c>
      <c r="D78" s="156">
        <v>879</v>
      </c>
      <c r="E78" s="156">
        <v>787</v>
      </c>
    </row>
    <row r="79" spans="1:5" x14ac:dyDescent="0.25">
      <c r="A79" s="163">
        <v>43101</v>
      </c>
      <c r="B79" s="156">
        <v>650</v>
      </c>
      <c r="C79" s="156">
        <v>766</v>
      </c>
      <c r="D79" s="156">
        <v>848</v>
      </c>
      <c r="E79" s="156">
        <v>784</v>
      </c>
    </row>
    <row r="80" spans="1:5" x14ac:dyDescent="0.25">
      <c r="A80" s="163">
        <v>43132</v>
      </c>
      <c r="B80" s="156">
        <v>654</v>
      </c>
      <c r="C80" s="156">
        <v>753</v>
      </c>
      <c r="D80" s="156">
        <v>829</v>
      </c>
      <c r="E80" s="156">
        <v>794</v>
      </c>
    </row>
    <row r="81" spans="1:5" x14ac:dyDescent="0.25">
      <c r="A81" s="163">
        <v>43160</v>
      </c>
      <c r="B81" s="156">
        <v>658</v>
      </c>
      <c r="C81" s="156">
        <v>749</v>
      </c>
      <c r="D81" s="156">
        <v>798</v>
      </c>
      <c r="E81" s="156">
        <v>790</v>
      </c>
    </row>
    <row r="82" spans="1:5" x14ac:dyDescent="0.25">
      <c r="A82" s="163">
        <v>43191</v>
      </c>
      <c r="B82" s="156">
        <v>651</v>
      </c>
      <c r="C82" s="156">
        <v>735</v>
      </c>
      <c r="D82" s="156">
        <v>794</v>
      </c>
      <c r="E82" s="156">
        <v>802</v>
      </c>
    </row>
    <row r="83" spans="1:5" x14ac:dyDescent="0.25">
      <c r="A83" s="163">
        <v>43221</v>
      </c>
      <c r="B83" s="156">
        <v>639</v>
      </c>
      <c r="C83" s="156">
        <v>719</v>
      </c>
      <c r="D83" s="156">
        <v>812</v>
      </c>
      <c r="E83" s="156">
        <v>782</v>
      </c>
    </row>
    <row r="84" spans="1:5" x14ac:dyDescent="0.25">
      <c r="A84" s="163">
        <v>43252</v>
      </c>
      <c r="B84" s="156">
        <v>605</v>
      </c>
      <c r="C84" s="156">
        <v>680</v>
      </c>
      <c r="D84" s="156">
        <v>817</v>
      </c>
      <c r="E84" s="156">
        <v>759</v>
      </c>
    </row>
    <row r="85" spans="1:5" x14ac:dyDescent="0.25">
      <c r="A85" s="163">
        <v>43282</v>
      </c>
      <c r="B85" s="156">
        <v>570</v>
      </c>
      <c r="C85" s="156">
        <v>660</v>
      </c>
      <c r="D85" s="156">
        <v>836</v>
      </c>
      <c r="E85" s="156">
        <v>774</v>
      </c>
    </row>
    <row r="86" spans="1:5" x14ac:dyDescent="0.25">
      <c r="A86" s="163">
        <v>43313</v>
      </c>
      <c r="B86" s="156">
        <v>559</v>
      </c>
      <c r="C86" s="156">
        <v>641</v>
      </c>
      <c r="D86" s="156">
        <v>853</v>
      </c>
      <c r="E86" s="156">
        <v>739</v>
      </c>
    </row>
    <row r="87" spans="1:5" x14ac:dyDescent="0.25">
      <c r="A87" s="163">
        <v>43344</v>
      </c>
      <c r="B87" s="156">
        <v>552</v>
      </c>
      <c r="C87" s="156">
        <v>642</v>
      </c>
      <c r="D87" s="156">
        <v>843</v>
      </c>
      <c r="E87" s="156">
        <v>713</v>
      </c>
    </row>
    <row r="88" spans="1:5" x14ac:dyDescent="0.25">
      <c r="A88" s="163">
        <v>43374</v>
      </c>
      <c r="B88" s="156">
        <v>539</v>
      </c>
      <c r="C88" s="156">
        <v>658</v>
      </c>
      <c r="D88" s="156">
        <v>875</v>
      </c>
      <c r="E88" s="156">
        <v>712</v>
      </c>
    </row>
    <row r="89" spans="1:5" x14ac:dyDescent="0.25">
      <c r="A89" s="163">
        <v>43405</v>
      </c>
      <c r="B89" s="156">
        <v>492</v>
      </c>
      <c r="C89" s="156">
        <v>633</v>
      </c>
      <c r="D89" s="156">
        <v>858</v>
      </c>
      <c r="E89" s="156">
        <v>678</v>
      </c>
    </row>
    <row r="90" spans="1:5" x14ac:dyDescent="0.25">
      <c r="A90" s="163">
        <v>43435</v>
      </c>
      <c r="B90" s="156">
        <v>489</v>
      </c>
      <c r="C90" s="156">
        <v>617</v>
      </c>
      <c r="D90" s="156">
        <v>831</v>
      </c>
      <c r="E90" s="156">
        <v>676</v>
      </c>
    </row>
    <row r="91" spans="1:5" x14ac:dyDescent="0.25">
      <c r="A91" s="163">
        <v>43466</v>
      </c>
      <c r="B91" s="156">
        <v>538</v>
      </c>
      <c r="C91" s="156">
        <v>651</v>
      </c>
      <c r="D91" s="156">
        <v>834</v>
      </c>
      <c r="E91" s="156">
        <v>689</v>
      </c>
    </row>
    <row r="92" spans="1:5" x14ac:dyDescent="0.25">
      <c r="A92" s="163">
        <v>43497</v>
      </c>
      <c r="B92" s="156">
        <v>556</v>
      </c>
      <c r="C92" s="156">
        <v>693</v>
      </c>
      <c r="D92" s="156">
        <v>823</v>
      </c>
      <c r="E92" s="156">
        <v>706</v>
      </c>
    </row>
    <row r="93" spans="1:5" x14ac:dyDescent="0.25">
      <c r="A93" s="163">
        <v>43525</v>
      </c>
      <c r="B93" s="156">
        <v>523</v>
      </c>
      <c r="C93" s="156">
        <v>653</v>
      </c>
      <c r="D93" s="156">
        <v>800</v>
      </c>
      <c r="E93" s="156">
        <v>700</v>
      </c>
    </row>
    <row r="94" spans="1:5" x14ac:dyDescent="0.25">
      <c r="A94" s="163">
        <v>43556</v>
      </c>
      <c r="B94" s="156">
        <v>538</v>
      </c>
      <c r="C94" s="156">
        <v>629</v>
      </c>
      <c r="D94" s="156">
        <v>802</v>
      </c>
      <c r="E94" s="156">
        <v>701</v>
      </c>
    </row>
    <row r="95" spans="1:5" x14ac:dyDescent="0.25">
      <c r="A95" s="163">
        <v>43586</v>
      </c>
      <c r="B95" s="156">
        <v>511</v>
      </c>
      <c r="C95" s="156">
        <v>637</v>
      </c>
      <c r="D95" s="156">
        <v>820</v>
      </c>
      <c r="E95" s="156">
        <v>726</v>
      </c>
    </row>
    <row r="96" spans="1:5" x14ac:dyDescent="0.25">
      <c r="A96" s="163">
        <v>43617</v>
      </c>
      <c r="B96" s="156">
        <v>502</v>
      </c>
      <c r="C96" s="156">
        <v>639</v>
      </c>
      <c r="D96" s="156">
        <v>833</v>
      </c>
      <c r="E96" s="156">
        <v>738</v>
      </c>
    </row>
    <row r="97" spans="1:5" x14ac:dyDescent="0.25">
      <c r="A97" s="163">
        <v>43647</v>
      </c>
      <c r="B97" s="156">
        <v>494</v>
      </c>
      <c r="C97" s="156">
        <v>637</v>
      </c>
      <c r="D97" s="156">
        <v>836</v>
      </c>
      <c r="E97" s="156">
        <v>772</v>
      </c>
    </row>
    <row r="98" spans="1:5" x14ac:dyDescent="0.25">
      <c r="A98" s="163">
        <v>43678</v>
      </c>
      <c r="B98" s="156">
        <v>536</v>
      </c>
      <c r="C98" s="156">
        <v>674</v>
      </c>
      <c r="D98" s="156">
        <v>877</v>
      </c>
      <c r="E98" s="156">
        <v>772</v>
      </c>
    </row>
    <row r="99" spans="1:5" x14ac:dyDescent="0.25">
      <c r="A99" s="163">
        <v>43709</v>
      </c>
      <c r="B99" s="156">
        <v>532</v>
      </c>
      <c r="C99" s="156">
        <v>669</v>
      </c>
      <c r="D99" s="156">
        <v>896</v>
      </c>
      <c r="E99" s="156">
        <v>756</v>
      </c>
    </row>
    <row r="100" spans="1:5" x14ac:dyDescent="0.25">
      <c r="A100" s="163">
        <v>43739</v>
      </c>
      <c r="B100" s="156">
        <v>547</v>
      </c>
      <c r="C100" s="156">
        <v>665</v>
      </c>
      <c r="D100" s="156">
        <v>883</v>
      </c>
      <c r="E100" s="156">
        <v>738</v>
      </c>
    </row>
    <row r="101" spans="1:5" x14ac:dyDescent="0.25">
      <c r="A101" s="163">
        <v>43770</v>
      </c>
      <c r="B101" s="156">
        <v>641</v>
      </c>
      <c r="C101" s="156">
        <v>692</v>
      </c>
      <c r="D101" s="156">
        <v>904</v>
      </c>
      <c r="E101" s="156">
        <v>763</v>
      </c>
    </row>
    <row r="102" spans="1:5" x14ac:dyDescent="0.25">
      <c r="A102" s="163">
        <v>43800</v>
      </c>
      <c r="B102" s="156">
        <v>718</v>
      </c>
      <c r="C102" s="156">
        <v>782</v>
      </c>
      <c r="D102" s="156">
        <v>923</v>
      </c>
      <c r="E102" s="156">
        <v>802</v>
      </c>
    </row>
    <row r="103" spans="1:5" x14ac:dyDescent="0.25">
      <c r="A103" s="163">
        <v>43831</v>
      </c>
      <c r="B103" s="156">
        <v>761</v>
      </c>
      <c r="C103" s="156">
        <v>799</v>
      </c>
      <c r="D103" s="156">
        <v>946</v>
      </c>
      <c r="E103" s="156">
        <v>830</v>
      </c>
    </row>
    <row r="104" spans="1:5" x14ac:dyDescent="0.25">
      <c r="A104" s="163">
        <v>43862</v>
      </c>
      <c r="B104" s="156">
        <v>677</v>
      </c>
      <c r="C104" s="156">
        <v>726</v>
      </c>
      <c r="D104" s="156">
        <v>899</v>
      </c>
      <c r="E104" s="156">
        <v>759</v>
      </c>
    </row>
    <row r="105" spans="1:5" x14ac:dyDescent="0.25">
      <c r="A105" s="163">
        <v>43891</v>
      </c>
      <c r="B105" s="156">
        <v>589</v>
      </c>
      <c r="C105" s="156">
        <v>611</v>
      </c>
      <c r="D105" s="156">
        <v>804</v>
      </c>
      <c r="E105" s="156">
        <v>706</v>
      </c>
    </row>
    <row r="106" spans="1:5" x14ac:dyDescent="0.25">
      <c r="A106" s="163">
        <v>43922</v>
      </c>
      <c r="B106" s="156">
        <v>563</v>
      </c>
      <c r="C106" s="156">
        <v>589</v>
      </c>
      <c r="D106" s="156">
        <v>765</v>
      </c>
      <c r="E106" s="156">
        <v>728</v>
      </c>
    </row>
    <row r="107" spans="1:5" x14ac:dyDescent="0.25">
      <c r="A107" s="163">
        <v>43952</v>
      </c>
      <c r="B107" s="156">
        <v>529</v>
      </c>
      <c r="C107" s="156">
        <v>595</v>
      </c>
      <c r="D107" s="156">
        <v>798</v>
      </c>
      <c r="E107" s="156">
        <v>751</v>
      </c>
    </row>
    <row r="108" spans="1:5" x14ac:dyDescent="0.25">
      <c r="A108" s="163">
        <v>43983</v>
      </c>
      <c r="B108" s="156">
        <v>605</v>
      </c>
      <c r="C108" s="156">
        <v>659</v>
      </c>
      <c r="D108" s="156">
        <v>857</v>
      </c>
      <c r="E108" s="156">
        <v>807</v>
      </c>
    </row>
    <row r="109" spans="1:5" x14ac:dyDescent="0.25">
      <c r="A109" s="163">
        <v>44013</v>
      </c>
      <c r="B109" s="156">
        <v>643</v>
      </c>
      <c r="C109" s="156">
        <v>709</v>
      </c>
      <c r="D109" s="156">
        <v>893</v>
      </c>
      <c r="E109" s="156">
        <v>817</v>
      </c>
    </row>
    <row r="110" spans="1:5" x14ac:dyDescent="0.25">
      <c r="A110" s="163">
        <v>44044</v>
      </c>
      <c r="B110" s="156">
        <v>715</v>
      </c>
      <c r="C110" s="156">
        <v>746</v>
      </c>
      <c r="D110" s="156">
        <v>930</v>
      </c>
      <c r="E110" s="156">
        <v>842</v>
      </c>
    </row>
    <row r="111" spans="1:5" x14ac:dyDescent="0.25">
      <c r="A111" s="163">
        <v>44075</v>
      </c>
      <c r="B111" s="156">
        <v>746</v>
      </c>
      <c r="C111" s="156">
        <v>799</v>
      </c>
      <c r="D111" s="156">
        <v>941</v>
      </c>
      <c r="E111" s="156">
        <v>1000</v>
      </c>
    </row>
    <row r="112" spans="1:5" x14ac:dyDescent="0.25">
      <c r="A112" s="163">
        <v>44105</v>
      </c>
      <c r="B112" s="156">
        <v>767</v>
      </c>
      <c r="C112" s="156">
        <v>821</v>
      </c>
      <c r="D112" s="156">
        <v>924</v>
      </c>
      <c r="E112" s="156">
        <v>999</v>
      </c>
    </row>
    <row r="113" spans="1:5" x14ac:dyDescent="0.25">
      <c r="A113" s="163">
        <v>44136</v>
      </c>
      <c r="B113" s="156">
        <v>878</v>
      </c>
      <c r="C113" s="156">
        <v>944</v>
      </c>
      <c r="D113" s="156">
        <v>1030</v>
      </c>
      <c r="E113" s="156">
        <v>1129</v>
      </c>
    </row>
    <row r="114" spans="1:5" x14ac:dyDescent="0.25">
      <c r="A114" s="157"/>
    </row>
    <row r="115" spans="1:5" x14ac:dyDescent="0.25">
      <c r="A115" s="157"/>
    </row>
    <row r="116" spans="1:5" x14ac:dyDescent="0.25">
      <c r="A116" s="157"/>
    </row>
    <row r="117" spans="1:5" x14ac:dyDescent="0.25">
      <c r="A117" s="157"/>
    </row>
    <row r="118" spans="1:5" x14ac:dyDescent="0.25">
      <c r="A118" s="157"/>
    </row>
    <row r="119" spans="1:5" x14ac:dyDescent="0.25">
      <c r="A119" s="157"/>
    </row>
    <row r="120" spans="1:5" x14ac:dyDescent="0.25">
      <c r="A120" s="157"/>
    </row>
    <row r="121" spans="1:5" x14ac:dyDescent="0.25">
      <c r="A121" s="157"/>
    </row>
    <row r="122" spans="1:5" x14ac:dyDescent="0.25">
      <c r="A122" s="157"/>
    </row>
    <row r="123" spans="1:5" x14ac:dyDescent="0.25">
      <c r="A123" s="157"/>
    </row>
    <row r="124" spans="1:5" x14ac:dyDescent="0.25">
      <c r="A124" s="157"/>
    </row>
    <row r="125" spans="1:5" x14ac:dyDescent="0.25">
      <c r="A125" s="157"/>
    </row>
    <row r="126" spans="1:5" x14ac:dyDescent="0.25">
      <c r="A126" s="157"/>
    </row>
    <row r="127" spans="1:5" x14ac:dyDescent="0.25">
      <c r="A127" s="157"/>
    </row>
    <row r="128" spans="1:5" x14ac:dyDescent="0.25">
      <c r="A128" s="157"/>
    </row>
    <row r="129" spans="1:1" x14ac:dyDescent="0.25">
      <c r="A129" s="157"/>
    </row>
    <row r="130" spans="1:1" x14ac:dyDescent="0.25">
      <c r="A130" s="157"/>
    </row>
    <row r="131" spans="1:1" x14ac:dyDescent="0.25">
      <c r="A131" s="157"/>
    </row>
    <row r="132" spans="1:1" x14ac:dyDescent="0.25">
      <c r="A132" s="157"/>
    </row>
    <row r="133" spans="1:1" x14ac:dyDescent="0.25">
      <c r="A133" s="157"/>
    </row>
    <row r="134" spans="1:1" x14ac:dyDescent="0.25">
      <c r="A134" s="157"/>
    </row>
    <row r="135" spans="1:1" x14ac:dyDescent="0.25">
      <c r="A135" s="157"/>
    </row>
    <row r="136" spans="1:1" x14ac:dyDescent="0.25">
      <c r="A136" s="157"/>
    </row>
    <row r="137" spans="1:1" x14ac:dyDescent="0.25">
      <c r="A137" s="157"/>
    </row>
    <row r="138" spans="1:1" x14ac:dyDescent="0.25">
      <c r="A138" s="157"/>
    </row>
    <row r="139" spans="1:1" x14ac:dyDescent="0.25">
      <c r="A139" s="157"/>
    </row>
    <row r="140" spans="1:1" x14ac:dyDescent="0.25">
      <c r="A140" s="157"/>
    </row>
    <row r="141" spans="1:1" x14ac:dyDescent="0.25">
      <c r="A141" s="157"/>
    </row>
    <row r="142" spans="1:1" x14ac:dyDescent="0.25">
      <c r="A142" s="157"/>
    </row>
    <row r="143" spans="1:1" x14ac:dyDescent="0.25">
      <c r="A143" s="157"/>
    </row>
    <row r="144" spans="1:1" x14ac:dyDescent="0.25">
      <c r="A144" s="157"/>
    </row>
    <row r="145" spans="1:1" x14ac:dyDescent="0.25">
      <c r="A145" s="157"/>
    </row>
    <row r="146" spans="1:1" x14ac:dyDescent="0.25">
      <c r="A146" s="157"/>
    </row>
    <row r="147" spans="1:1" x14ac:dyDescent="0.25">
      <c r="A147" s="157"/>
    </row>
    <row r="148" spans="1:1" x14ac:dyDescent="0.25">
      <c r="A148" s="157"/>
    </row>
    <row r="149" spans="1:1" x14ac:dyDescent="0.25">
      <c r="A149" s="157"/>
    </row>
    <row r="150" spans="1:1" x14ac:dyDescent="0.25">
      <c r="A150" s="157"/>
    </row>
    <row r="151" spans="1:1" x14ac:dyDescent="0.25">
      <c r="A151" s="157"/>
    </row>
    <row r="152" spans="1:1" x14ac:dyDescent="0.25">
      <c r="A152" s="157"/>
    </row>
    <row r="153" spans="1:1" x14ac:dyDescent="0.25">
      <c r="A153" s="157"/>
    </row>
    <row r="154" spans="1:1" x14ac:dyDescent="0.25">
      <c r="A154" s="157"/>
    </row>
    <row r="155" spans="1:1" x14ac:dyDescent="0.25">
      <c r="A155" s="157"/>
    </row>
    <row r="156" spans="1:1" x14ac:dyDescent="0.25">
      <c r="A156" s="157"/>
    </row>
    <row r="157" spans="1:1" x14ac:dyDescent="0.25">
      <c r="A157" s="157"/>
    </row>
    <row r="158" spans="1:1" x14ac:dyDescent="0.25">
      <c r="A158" s="157"/>
    </row>
    <row r="159" spans="1:1" x14ac:dyDescent="0.25">
      <c r="A159" s="157"/>
    </row>
    <row r="160" spans="1:1" x14ac:dyDescent="0.25">
      <c r="A160" s="157"/>
    </row>
    <row r="161" spans="1:1" x14ac:dyDescent="0.25">
      <c r="A161" s="157"/>
    </row>
    <row r="162" spans="1:1" x14ac:dyDescent="0.25">
      <c r="A162" s="157"/>
    </row>
    <row r="163" spans="1:1" x14ac:dyDescent="0.25">
      <c r="A163" s="157"/>
    </row>
    <row r="164" spans="1:1" x14ac:dyDescent="0.25">
      <c r="A164" s="157"/>
    </row>
    <row r="165" spans="1:1" x14ac:dyDescent="0.25">
      <c r="A165" s="157"/>
    </row>
    <row r="166" spans="1:1" x14ac:dyDescent="0.25">
      <c r="A166" s="157"/>
    </row>
    <row r="167" spans="1:1" x14ac:dyDescent="0.25">
      <c r="A167" s="157"/>
    </row>
    <row r="168" spans="1:1" x14ac:dyDescent="0.25">
      <c r="A168" s="157"/>
    </row>
    <row r="169" spans="1:1" x14ac:dyDescent="0.25">
      <c r="A169" s="157"/>
    </row>
    <row r="170" spans="1:1" x14ac:dyDescent="0.25">
      <c r="A170" s="157"/>
    </row>
    <row r="171" spans="1:1" x14ac:dyDescent="0.25">
      <c r="A171" s="157"/>
    </row>
    <row r="172" spans="1:1" x14ac:dyDescent="0.25">
      <c r="A172" s="157"/>
    </row>
    <row r="173" spans="1:1" x14ac:dyDescent="0.25">
      <c r="A173" s="157"/>
    </row>
    <row r="174" spans="1:1" x14ac:dyDescent="0.25">
      <c r="A174" s="157"/>
    </row>
    <row r="175" spans="1:1" x14ac:dyDescent="0.25">
      <c r="A175" s="157"/>
    </row>
    <row r="176" spans="1:1" x14ac:dyDescent="0.25">
      <c r="A176" s="157"/>
    </row>
    <row r="177" spans="1:1" x14ac:dyDescent="0.25">
      <c r="A177" s="157"/>
    </row>
    <row r="178" spans="1:1" x14ac:dyDescent="0.25">
      <c r="A178" s="157"/>
    </row>
    <row r="179" spans="1:1" x14ac:dyDescent="0.25">
      <c r="A179" s="157"/>
    </row>
    <row r="180" spans="1:1" x14ac:dyDescent="0.25">
      <c r="A180" s="157"/>
    </row>
    <row r="181" spans="1:1" x14ac:dyDescent="0.25">
      <c r="A181" s="157"/>
    </row>
    <row r="182" spans="1:1" x14ac:dyDescent="0.25">
      <c r="A182" s="157"/>
    </row>
    <row r="183" spans="1:1" x14ac:dyDescent="0.25">
      <c r="A183" s="157"/>
    </row>
    <row r="184" spans="1:1" x14ac:dyDescent="0.25">
      <c r="A184" s="157"/>
    </row>
    <row r="185" spans="1:1" x14ac:dyDescent="0.25">
      <c r="A185" s="157"/>
    </row>
    <row r="186" spans="1:1" x14ac:dyDescent="0.25">
      <c r="A186" s="157"/>
    </row>
    <row r="187" spans="1:1" x14ac:dyDescent="0.25">
      <c r="A187" s="157"/>
    </row>
    <row r="188" spans="1:1" x14ac:dyDescent="0.25">
      <c r="A188" s="157"/>
    </row>
    <row r="189" spans="1:1" x14ac:dyDescent="0.25">
      <c r="A189" s="157"/>
    </row>
    <row r="190" spans="1:1" x14ac:dyDescent="0.25">
      <c r="A190" s="157"/>
    </row>
    <row r="191" spans="1:1" x14ac:dyDescent="0.25">
      <c r="A191" s="157"/>
    </row>
    <row r="192" spans="1:1" x14ac:dyDescent="0.25">
      <c r="A192" s="157"/>
    </row>
    <row r="193" spans="1:1" x14ac:dyDescent="0.25">
      <c r="A193" s="157"/>
    </row>
    <row r="194" spans="1:1" x14ac:dyDescent="0.25">
      <c r="A194" s="157"/>
    </row>
    <row r="195" spans="1:1" x14ac:dyDescent="0.25">
      <c r="A195" s="157"/>
    </row>
    <row r="196" spans="1:1" x14ac:dyDescent="0.25">
      <c r="A196" s="157"/>
    </row>
    <row r="197" spans="1:1" x14ac:dyDescent="0.25">
      <c r="A197" s="157"/>
    </row>
    <row r="198" spans="1:1" x14ac:dyDescent="0.25">
      <c r="A198" s="157"/>
    </row>
    <row r="199" spans="1:1" x14ac:dyDescent="0.25">
      <c r="A199" s="157"/>
    </row>
    <row r="200" spans="1:1" x14ac:dyDescent="0.25">
      <c r="A200" s="157"/>
    </row>
    <row r="201" spans="1:1" x14ac:dyDescent="0.25">
      <c r="A201" s="157"/>
    </row>
    <row r="202" spans="1:1" x14ac:dyDescent="0.25">
      <c r="A202" s="157"/>
    </row>
    <row r="203" spans="1:1" x14ac:dyDescent="0.25">
      <c r="A203" s="157"/>
    </row>
    <row r="204" spans="1:1" x14ac:dyDescent="0.25">
      <c r="A204" s="157"/>
    </row>
    <row r="205" spans="1:1" x14ac:dyDescent="0.25">
      <c r="A205" s="157"/>
    </row>
    <row r="206" spans="1:1" x14ac:dyDescent="0.25">
      <c r="A206" s="157"/>
    </row>
    <row r="207" spans="1:1" x14ac:dyDescent="0.25">
      <c r="A207" s="157"/>
    </row>
    <row r="208" spans="1:1" x14ac:dyDescent="0.25">
      <c r="A208" s="157"/>
    </row>
    <row r="209" spans="1:1" x14ac:dyDescent="0.25">
      <c r="A209" s="157"/>
    </row>
    <row r="210" spans="1:1" x14ac:dyDescent="0.25">
      <c r="A210" s="157"/>
    </row>
    <row r="211" spans="1:1" x14ac:dyDescent="0.25">
      <c r="A211" s="157"/>
    </row>
    <row r="212" spans="1:1" x14ac:dyDescent="0.25">
      <c r="A212" s="157"/>
    </row>
    <row r="213" spans="1:1" x14ac:dyDescent="0.25">
      <c r="A213" s="157"/>
    </row>
    <row r="214" spans="1:1" x14ac:dyDescent="0.25">
      <c r="A214" s="157"/>
    </row>
    <row r="215" spans="1:1" x14ac:dyDescent="0.25">
      <c r="A215" s="157"/>
    </row>
    <row r="216" spans="1:1" x14ac:dyDescent="0.25">
      <c r="A216" s="157"/>
    </row>
    <row r="217" spans="1:1" x14ac:dyDescent="0.25">
      <c r="A217" s="157"/>
    </row>
    <row r="218" spans="1:1" x14ac:dyDescent="0.25">
      <c r="A218" s="157"/>
    </row>
    <row r="219" spans="1:1" x14ac:dyDescent="0.25">
      <c r="A219" s="157"/>
    </row>
    <row r="220" spans="1:1" x14ac:dyDescent="0.25">
      <c r="A220" s="157"/>
    </row>
    <row r="221" spans="1:1" x14ac:dyDescent="0.25">
      <c r="A221" s="157"/>
    </row>
    <row r="222" spans="1:1" x14ac:dyDescent="0.25">
      <c r="A222" s="157"/>
    </row>
    <row r="223" spans="1:1" x14ac:dyDescent="0.25">
      <c r="A223" s="157"/>
    </row>
    <row r="224" spans="1:1" x14ac:dyDescent="0.25">
      <c r="A224" s="157"/>
    </row>
    <row r="225" spans="1:1" x14ac:dyDescent="0.25">
      <c r="A225" s="157"/>
    </row>
    <row r="226" spans="1:1" x14ac:dyDescent="0.25">
      <c r="A226" s="157"/>
    </row>
    <row r="227" spans="1:1" x14ac:dyDescent="0.25">
      <c r="A227" s="157"/>
    </row>
    <row r="228" spans="1:1" x14ac:dyDescent="0.25">
      <c r="A228" s="157"/>
    </row>
    <row r="229" spans="1:1" x14ac:dyDescent="0.25">
      <c r="A229" s="157"/>
    </row>
    <row r="230" spans="1:1" x14ac:dyDescent="0.25">
      <c r="A230" s="157"/>
    </row>
    <row r="231" spans="1:1" x14ac:dyDescent="0.25">
      <c r="A231" s="157"/>
    </row>
    <row r="232" spans="1:1" x14ac:dyDescent="0.25">
      <c r="A232" s="157"/>
    </row>
    <row r="233" spans="1:1" x14ac:dyDescent="0.25">
      <c r="A233" s="157"/>
    </row>
    <row r="234" spans="1:1" x14ac:dyDescent="0.25">
      <c r="A234" s="157"/>
    </row>
    <row r="235" spans="1:1" x14ac:dyDescent="0.25">
      <c r="A235" s="157"/>
    </row>
    <row r="236" spans="1:1" x14ac:dyDescent="0.25">
      <c r="A236" s="157"/>
    </row>
    <row r="237" spans="1:1" x14ac:dyDescent="0.25">
      <c r="A237" s="157"/>
    </row>
    <row r="238" spans="1:1" x14ac:dyDescent="0.25">
      <c r="A238" s="157"/>
    </row>
    <row r="239" spans="1:1" x14ac:dyDescent="0.25">
      <c r="A239" s="157"/>
    </row>
    <row r="240" spans="1:1" x14ac:dyDescent="0.25">
      <c r="A240" s="157"/>
    </row>
    <row r="241" spans="1:1" x14ac:dyDescent="0.25">
      <c r="A241" s="157"/>
    </row>
    <row r="242" spans="1:1" x14ac:dyDescent="0.25">
      <c r="A242" s="157"/>
    </row>
    <row r="243" spans="1:1" x14ac:dyDescent="0.25">
      <c r="A243" s="157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USDA, U.S. Department of Agriculture, ERS, Economic Research Service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2020-12-11T19:43:05Z</dcterms:modified>
  <cp:category>Oilseeds</cp:category>
</cp:coreProperties>
</file>