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1'!$A$1:$N$46</definedName>
    <definedName name="_xlnm.Print_Area" localSheetId="7">'Table 10'!$A$1:$G$44</definedName>
    <definedName name="_xlnm.Print_Area" localSheetId="2">'Table 2'!$A$1:$J$36</definedName>
    <definedName name="_xlnm.Print_Area" localSheetId="3">'Table 3'!$A$1:$M$37</definedName>
    <definedName name="_xlnm.Print_Area" localSheetId="5">'Table 8'!$A$1:$G$42</definedName>
    <definedName name="_xlnm.Print_Area" localSheetId="6">'Table 9'!$A$1:$I$44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<sst xmlns="http://schemas.openxmlformats.org/spreadsheetml/2006/main" count="533" uniqueCount="203">
  <si>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</si>
  <si>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</si>
  <si>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</si>
  <si>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</si>
  <si>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</si>
  <si>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</si>
  <si>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</si>
  <si>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</si>
  <si>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</si>
  <si>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</si>
  <si>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</si>
  <si>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</si>
  <si>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</si>
  <si>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</si>
  <si>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</si>
  <si>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</si>
  <si>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</si>
  <si>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</si>
  <si>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</si>
  <si>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</si>
  <si>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</si>
  <si>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</si>
  <si>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</si>
  <si>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</si>
  <si>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</si>
  <si>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</si>
  <si>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</si>
  <si>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</si>
  <si>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</si>
  <si>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</si>
  <si>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</si>
  <si>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</si>
  <si>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</si>
  <si>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</si>
  <si>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</si>
  <si>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</si>
  <si>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</si>
  <si>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</si>
  <si>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</si>
  <si>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</si>
  <si>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</si>
  <si>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</si>
  <si>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</si>
  <si>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</si>
  <si>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</si>
  <si>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</si>
  <si>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</si>
  <si>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</si>
  <si>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</si>
  <si>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</si>
  <si>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</si>
  <si>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</si>
  <si>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</si>
  <si>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</si>
  <si>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</si>
  <si>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</si>
  <si>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</si>
  <si>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</si>
  <si>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</si>
  <si>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</si>
  <si>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</si>
  <si>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</si>
  <si>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</si>
  <si>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</si>
  <si>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</si>
  <si>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</si>
  <si>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</si>
  <si>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</si>
  <si>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</si>
  <si>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</si>
  <si>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</si>
  <si>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</si>
  <si>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</si>
  <si>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</si>
  <si>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</si>
  <si>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</si>
  <si>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</si>
  <si>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</si>
  <si>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</si>
  <si>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</si>
  <si>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</si>
  <si>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</si>
  <si>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</si>
  <si>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</si>
  <si>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</si>
  <si>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</si>
  <si>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</si>
  <si>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</si>
  <si>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</si>
  <si>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</si>
  <si>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</si>
  <si>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</si>
  <si>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</si>
  <si>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</si>
  <si>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</si>
  <si>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</si>
  <si>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</si>
  <si>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</si>
  <si>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</si>
  <si>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</si>
  <si>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</si>
  <si>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</si>
  <si>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</si>
  <si>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</si>
  <si>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</si>
  <si>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</si>
  <si>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</si>
  <si>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</si>
  <si>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</si>
  <si>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</si>
  <si>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</si>
  <si>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</si>
  <si>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</si>
  <si>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</si>
  <si>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</si>
  <si>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</si>
  <si>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</si>
  <si>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</si>
  <si>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</si>
  <si>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</si>
  <si>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</si>
  <si>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</si>
  <si>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</si>
  <si>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</si>
  <si>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</si>
  <si>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</si>
  <si>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</si>
  <si>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</si>
  <si>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</si>
  <si>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</si>
  <si>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</si>
  <si>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</si>
  <si>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</si>
  <si>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</si>
  <si>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</si>
  <si>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</si>
  <si>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</si>
  <si>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</si>
  <si>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</si>
  <si>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</si>
  <si>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</si>
  <si>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</si>
  <si>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</si>
  <si>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</si>
  <si>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</si>
  <si>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</si>
  <si>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</si>
  <si>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</si>
  <si>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</si>
  <si>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</si>
  <si>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</si>
  <si>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</si>
  <si>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</si>
  <si>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</si>
  <si>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</si>
  <si>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</si>
  <si>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</si>
  <si>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</si>
  <si>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</si>
  <si>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</si>
  <si>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</si>
  <si>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</si>
  <si>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</si>
  <si>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</si>
  <si>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</si>
  <si>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</si>
  <si>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</si>
  <si>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</si>
  <si>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</si>
  <si>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</si>
  <si>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Brazil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</si>
  <si>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</si>
  <si>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</si>
  <si>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8.15-10.65</t>
  </si>
  <si>
    <t>19.25-23.25</t>
  </si>
  <si>
    <t>Soybean</t>
  </si>
  <si>
    <t>price</t>
  </si>
  <si>
    <t>$/ bushel</t>
  </si>
  <si>
    <t>315-355</t>
  </si>
  <si>
    <t>235-275</t>
  </si>
  <si>
    <t>265-305</t>
  </si>
  <si>
    <t>210-250</t>
  </si>
  <si>
    <t>28.0-32.0</t>
  </si>
  <si>
    <t>30.0-34.0</t>
  </si>
  <si>
    <t>51.5-55.5</t>
  </si>
  <si>
    <t>35.0-39.0</t>
  </si>
  <si>
    <t>57.0-61.0</t>
  </si>
  <si>
    <t>31.0-35.0</t>
  </si>
  <si>
    <t>8.00-10.50</t>
  </si>
  <si>
    <t>United States</t>
  </si>
  <si>
    <t>Other</t>
  </si>
  <si>
    <t>Million metric tons</t>
  </si>
  <si>
    <t>China</t>
  </si>
  <si>
    <t>imports</t>
  </si>
  <si>
    <t>Central Illinois</t>
  </si>
  <si>
    <t>Gulf</t>
  </si>
  <si>
    <t>oil</t>
  </si>
  <si>
    <t>Food and other</t>
  </si>
  <si>
    <t>2018/19</t>
  </si>
  <si>
    <t>15.10-19.10</t>
  </si>
  <si>
    <t>135-175</t>
  </si>
  <si>
    <t>15.30-19.30</t>
  </si>
  <si>
    <t>155-195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</si>
</sst>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  <numFmt numFmtId="214" formatCode="_(* #,##0.0000000000_);_(* \(#,##0.0000000000\);_(* &quot;-&quot;??????????_);_(@_)"/>
  </numFmts>
  <fonts count="5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1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2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2" fontId="0" fillId="0" borderId="0" xfId="0" applyNumberFormat="1" applyFont="1" applyAlignment="1" quotePrefix="1">
      <alignment/>
    </xf>
    <xf numFmtId="2" fontId="4" fillId="0" borderId="0" xfId="0" applyNumberFormat="1" applyFont="1" applyAlignment="1" quotePrefix="1">
      <alignment/>
    </xf>
    <xf numFmtId="2" fontId="0" fillId="0" borderId="0" xfId="0" applyNumberFormat="1" applyFont="1" applyAlignment="1">
      <alignment/>
    </xf>
    <xf numFmtId="2" fontId="0" fillId="0" borderId="0" xfId="0" applyNumberForma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0" fillId="0" borderId="0" xfId="0" applyNumberFormat="1" applyBorder="1" applyAlignment="1">
      <alignment wrapText="1"/>
    </xf>
    <xf numFmtId="1" fontId="0" fillId="0" borderId="0" xfId="0" applyNumberFormat="1" applyAlignment="1">
      <alignment/>
    </xf>
    <xf numFmtId="192" fontId="0" fillId="0" borderId="0" xfId="0" applyNumberFormat="1" applyAlignment="1" applyProtection="1">
      <alignment/>
      <protection/>
    </xf>
    <xf numFmtId="167" fontId="0" fillId="0" borderId="0" xfId="42" applyNumberFormat="1" applyFont="1" applyAlignment="1">
      <alignment/>
    </xf>
    <xf numFmtId="178" fontId="58" fillId="0" borderId="13" xfId="0" applyNumberFormat="1" applyFont="1" applyBorder="1" applyAlignment="1">
      <alignment horizontal="center" wrapText="1"/>
    </xf>
    <xf numFmtId="14" fontId="0" fillId="0" borderId="13" xfId="0" applyNumberFormat="1" applyBorder="1" applyAlignment="1">
      <alignment wrapText="1"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fall sharply with good crop conditions, dimmer export outlook</a:t>
            </a:r>
          </a:p>
        </c:rich>
      </c:tx>
      <c:layout>
        <c:manualLayout>
          <c:xMode val="factor"/>
          <c:yMode val="factor"/>
          <c:x val="-0.095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"/>
          <c:w val="0.863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Cover!$C$1</c:f>
              <c:strCache>
                <c:ptCount val="1"/>
                <c:pt idx="0">
                  <c:v>Gulf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Cover!$C$4:$C$216</c:f>
              <c:numCache/>
            </c:numRef>
          </c:val>
          <c:smooth val="0"/>
        </c:ser>
        <c:ser>
          <c:idx val="2"/>
          <c:order val="1"/>
          <c:tx>
            <c:strRef>
              <c:f>Cover!$B$1</c:f>
              <c:strCache>
                <c:ptCount val="1"/>
                <c:pt idx="0">
                  <c:v>Central Illinois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Cover!$A$4:$A$216</c:f>
              <c:strCache/>
            </c:strRef>
          </c:cat>
          <c:val>
            <c:numRef>
              <c:f>Cover!$B$4:$B$216</c:f>
              <c:numCache/>
            </c:numRef>
          </c:val>
          <c:smooth val="0"/>
        </c:ser>
        <c:marker val="1"/>
        <c:axId val="57418610"/>
        <c:axId val="47005443"/>
      </c:lineChart>
      <c:dateAx>
        <c:axId val="57418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 USDA, Agricultural Marketing Service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, Grain Prices at Illinois Country Elevators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and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Louisiana Gulf Bids.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544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7005443"/>
        <c:scaling>
          <c:orientation val="minMax"/>
          <c:max val="12"/>
          <c:min val="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28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18610"/>
        <c:crossesAt val="1"/>
        <c:crossBetween val="between"/>
        <c:dispUnits/>
        <c:majorUnit val="1"/>
        <c:min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22125"/>
          <c:w val="0.16925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oil use for biodiesel expected to lead the growth in demand</a:t>
            </a:r>
          </a:p>
        </c:rich>
      </c:tx>
      <c:layout>
        <c:manualLayout>
          <c:xMode val="factor"/>
          <c:yMode val="factor"/>
          <c:x val="-0.163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6"/>
          <c:w val="0.801"/>
          <c:h val="0.7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Food and other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1'!$B$4:$B$8</c:f>
              <c:numCache/>
            </c:numRef>
          </c:val>
        </c:ser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Biodiesel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1'!$C$4:$C$8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1'!$A$4:$A$8</c:f>
              <c:strCache/>
            </c:strRef>
          </c:cat>
          <c:val>
            <c:numRef>
              <c:f>'Oil Crops Chart Gallery Fig 1'!$D$4:$D$8</c:f>
              <c:numCache/>
            </c:numRef>
          </c:val>
        </c:ser>
        <c:axId val="20395804"/>
        <c:axId val="49344509"/>
      </c:barChart>
      <c:catAx>
        <c:axId val="2039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4509"/>
        <c:crosses val="autoZero"/>
        <c:auto val="1"/>
        <c:lblOffset val="100"/>
        <c:tickLblSkip val="1"/>
        <c:noMultiLvlLbl val="0"/>
      </c:catAx>
      <c:valAx>
        <c:axId val="49344509"/>
        <c:scaling>
          <c:orientation val="minMax"/>
          <c:max val="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</a:t>
                </a:r>
              </a:p>
            </c:rich>
          </c:tx>
          <c:layout>
            <c:manualLayout>
              <c:xMode val="factor"/>
              <c:yMode val="factor"/>
              <c:x val="0.054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95804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25"/>
          <c:y val="0.1725"/>
          <c:w val="0.30325"/>
          <c:h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Seasonal pattern of market shares in China soybean imports to be reconfigured by price shifts </a:t>
            </a:r>
          </a:p>
        </c:rich>
      </c:tx>
      <c:layout>
        <c:manualLayout>
          <c:xMode val="factor"/>
          <c:yMode val="factor"/>
          <c:x val="-0.05275"/>
          <c:y val="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475"/>
          <c:w val="0.8015"/>
          <c:h val="0.76825"/>
        </c:manualLayout>
      </c:layout>
      <c:areaChart>
        <c:grouping val="stacked"/>
        <c:varyColors val="0"/>
        <c:ser>
          <c:idx val="1"/>
          <c:order val="0"/>
          <c:tx>
            <c:strRef>
              <c:f>'Oil Crops Chart Gallery Fig 2'!$B$2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2'!$B$7:$B$36</c:f>
              <c:numCache/>
            </c:numRef>
          </c:val>
        </c:ser>
        <c:ser>
          <c:idx val="0"/>
          <c:order val="1"/>
          <c:tx>
            <c:strRef>
              <c:f>'Oil Crops Chart Gallery Fig 2'!$C$2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2'!$C$7:$C$36</c:f>
              <c:numCache/>
            </c:numRef>
          </c:val>
        </c:ser>
        <c:ser>
          <c:idx val="2"/>
          <c:order val="2"/>
          <c:tx>
            <c:strRef>
              <c:f>'Oil Crops Chart Gallery Fig 2'!$D$2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2'!$A$7:$A$36</c:f>
              <c:strCache/>
            </c:strRef>
          </c:cat>
          <c:val>
            <c:numRef>
              <c:f>'Oil Crops Chart Gallery Fig 2'!$D$7:$D$36</c:f>
              <c:numCache/>
            </c:numRef>
          </c:val>
        </c:ser>
        <c:axId val="41447398"/>
        <c:axId val="37482263"/>
      </c:areaChart>
      <c:catAx>
        <c:axId val="41447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customs data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5"/>
              <c:y val="-0.1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2263"/>
        <c:crosses val="autoZero"/>
        <c:auto val="0"/>
        <c:lblOffset val="100"/>
        <c:tickLblSkip val="3"/>
        <c:noMultiLvlLbl val="0"/>
      </c:catAx>
      <c:valAx>
        <c:axId val="37482263"/>
        <c:scaling>
          <c:orientation val="minMax"/>
          <c:max val="1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8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398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19025"/>
          <c:w val="0.11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38100</xdr:rowOff>
    </xdr:from>
    <xdr:to>
      <xdr:col>13</xdr:col>
      <xdr:colOff>419100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209800" y="38100"/>
        <a:ext cx="64484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28575</xdr:rowOff>
    </xdr:from>
    <xdr:to>
      <xdr:col>15</xdr:col>
      <xdr:colOff>323850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3124200" y="2857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9525</xdr:rowOff>
    </xdr:from>
    <xdr:to>
      <xdr:col>14</xdr:col>
      <xdr:colOff>438150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571750" y="9525"/>
        <a:ext cx="69532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35" customWidth="1"/>
    <col min="2" max="16384" width="9.7109375" style="27" customWidth="1"/>
  </cols>
  <sheetData>
    <row r="1" ht="44.25" customHeight="1">
      <c r="A1" s="26"/>
    </row>
    <row r="2" ht="18">
      <c r="A2" s="28" t="s">
        <v>124</v>
      </c>
    </row>
    <row r="3" s="30" customFormat="1" ht="11.25">
      <c r="A3" s="29"/>
    </row>
    <row r="4" ht="12.75">
      <c r="A4" s="31" t="s">
        <v>125</v>
      </c>
    </row>
    <row r="5" spans="1:2" ht="12.75">
      <c r="A5" s="39">
        <f ca="1">TODAY()</f>
        <v>43297</v>
      </c>
      <c r="B5" s="32"/>
    </row>
    <row r="6" spans="1:3" s="30" customFormat="1" ht="12.75">
      <c r="A6" s="29"/>
      <c r="B6" s="32"/>
      <c r="C6" s="33"/>
    </row>
    <row r="7" spans="1:3" ht="12.75">
      <c r="A7" s="38" t="s">
        <v>73</v>
      </c>
      <c r="B7" s="34"/>
      <c r="C7" s="30"/>
    </row>
    <row r="8" spans="1:2" ht="12.75">
      <c r="A8" s="38" t="s">
        <v>23</v>
      </c>
      <c r="B8" s="36"/>
    </row>
    <row r="9" spans="1:2" ht="12.75">
      <c r="A9" s="38" t="s">
        <v>25</v>
      </c>
      <c r="B9" s="36"/>
    </row>
    <row r="10" spans="1:2" ht="12.75">
      <c r="A10" s="38" t="s">
        <v>11</v>
      </c>
      <c r="B10" s="36"/>
    </row>
    <row r="11" spans="1:2" ht="12.75">
      <c r="A11" s="38" t="s">
        <v>12</v>
      </c>
      <c r="B11" s="36"/>
    </row>
    <row r="12" spans="1:2" ht="12.75">
      <c r="A12" s="38" t="s">
        <v>13</v>
      </c>
      <c r="B12" s="36"/>
    </row>
    <row r="13" spans="1:2" ht="12.75">
      <c r="A13" s="38" t="s">
        <v>14</v>
      </c>
      <c r="B13" s="36"/>
    </row>
    <row r="14" spans="1:2" ht="12.75">
      <c r="A14" s="38" t="s">
        <v>51</v>
      </c>
      <c r="B14" s="36"/>
    </row>
    <row r="15" spans="1:2" ht="12.75">
      <c r="A15" s="38" t="s">
        <v>22</v>
      </c>
      <c r="B15" s="36"/>
    </row>
    <row r="16" spans="1:2" ht="12.75">
      <c r="A16" s="38" t="s">
        <v>43</v>
      </c>
      <c r="B16" s="36"/>
    </row>
    <row r="17" spans="1:2" ht="12.75">
      <c r="A17" s="37" t="s">
        <v>126</v>
      </c>
      <c r="B17" s="36"/>
    </row>
    <row r="18" ht="12.75">
      <c r="A18" s="37" t="s">
        <v>127</v>
      </c>
    </row>
  </sheetData>
  <sheetProtection/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9" sqref="A9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5" width="8.7109375" style="0" customWidth="1"/>
    <col min="6" max="11" width="10.57421875" style="0" customWidth="1"/>
  </cols>
  <sheetData>
    <row r="1" spans="1:7" ht="15.75">
      <c r="A1" s="22" t="s">
        <v>128</v>
      </c>
      <c r="B1" s="14" t="s">
        <v>197</v>
      </c>
      <c r="C1" s="14" t="s">
        <v>98</v>
      </c>
      <c r="D1" s="14" t="s">
        <v>4</v>
      </c>
      <c r="F1" s="10"/>
      <c r="G1" s="22"/>
    </row>
    <row r="2" spans="1:4" ht="15.75">
      <c r="A2" s="10" t="s">
        <v>196</v>
      </c>
      <c r="C2" s="14"/>
      <c r="D2" s="10"/>
    </row>
    <row r="3" spans="2:4" ht="12.75">
      <c r="B3" s="10"/>
      <c r="C3" s="10" t="s">
        <v>112</v>
      </c>
      <c r="D3" s="10"/>
    </row>
    <row r="4" spans="1:7" ht="15.75">
      <c r="A4" s="14" t="s">
        <v>102</v>
      </c>
      <c r="B4" s="25">
        <f>18958.9123011434-C4</f>
        <v>13920.322301143398</v>
      </c>
      <c r="C4" s="25">
        <v>5038.59</v>
      </c>
      <c r="D4" s="25">
        <v>2014.3727820536042</v>
      </c>
      <c r="F4" s="23"/>
      <c r="G4" s="25"/>
    </row>
    <row r="5" spans="1:7" ht="15.75">
      <c r="A5" s="14" t="s">
        <v>103</v>
      </c>
      <c r="B5" s="25">
        <f>20162.2479225438-C5</f>
        <v>14492.037922543801</v>
      </c>
      <c r="C5" s="25">
        <v>5670.21</v>
      </c>
      <c r="D5" s="25">
        <v>2242.541231640738</v>
      </c>
      <c r="F5" s="23"/>
      <c r="G5" s="25"/>
    </row>
    <row r="6" spans="1:7" ht="15.75">
      <c r="A6" s="14" t="s">
        <v>120</v>
      </c>
      <c r="B6" s="25">
        <f>19862.3145349372-C6</f>
        <v>13662.0145349372</v>
      </c>
      <c r="C6" s="25">
        <v>6200.3</v>
      </c>
      <c r="D6" s="25">
        <v>2555.662232636352</v>
      </c>
      <c r="F6" s="23"/>
      <c r="G6" s="25"/>
    </row>
    <row r="7" spans="1:7" ht="15.75">
      <c r="A7" s="14" t="s">
        <v>123</v>
      </c>
      <c r="B7" s="25">
        <f>20599.954-C7</f>
        <v>13699.954000000002</v>
      </c>
      <c r="C7" s="25">
        <v>6900</v>
      </c>
      <c r="D7" s="25">
        <v>2450</v>
      </c>
      <c r="F7" s="23"/>
      <c r="G7" s="25"/>
    </row>
    <row r="8" spans="1:7" ht="15.75">
      <c r="A8" s="14" t="s">
        <v>198</v>
      </c>
      <c r="B8" s="25">
        <f>21300-C8</f>
        <v>13500</v>
      </c>
      <c r="C8" s="25">
        <v>7800</v>
      </c>
      <c r="D8" s="25">
        <v>2200</v>
      </c>
      <c r="F8" s="23"/>
      <c r="G8" s="25"/>
    </row>
    <row r="9" spans="1:7" ht="15.75">
      <c r="A9" s="14"/>
      <c r="B9" s="25"/>
      <c r="C9" s="25"/>
      <c r="D9" s="25"/>
      <c r="E9" s="25"/>
      <c r="F9" s="23"/>
      <c r="G9" s="25"/>
    </row>
    <row r="10" spans="1:7" ht="15.75">
      <c r="A10" s="14"/>
      <c r="B10" s="25"/>
      <c r="C10" s="25"/>
      <c r="D10" s="25"/>
      <c r="E10" s="25"/>
      <c r="F10" s="23"/>
      <c r="G10" s="25"/>
    </row>
    <row r="11" spans="2:6" ht="12.75">
      <c r="B11" s="25"/>
      <c r="C11" s="25"/>
      <c r="D11" s="25"/>
      <c r="E11" s="25"/>
      <c r="F11" s="23"/>
    </row>
    <row r="12" spans="2:6" ht="12.75">
      <c r="B12" s="25"/>
      <c r="C12" s="25"/>
      <c r="D12" s="25"/>
      <c r="E12" s="25"/>
      <c r="F12" s="23"/>
    </row>
    <row r="13" spans="2:6" ht="12.75">
      <c r="B13" s="25"/>
      <c r="C13" s="25"/>
      <c r="D13" s="25"/>
      <c r="E13" s="25"/>
      <c r="F13" s="23"/>
    </row>
    <row r="14" spans="2:6" ht="12.75">
      <c r="B14" s="25"/>
      <c r="C14" s="25"/>
      <c r="D14" s="25"/>
      <c r="E14" s="25"/>
      <c r="F14" s="23"/>
    </row>
    <row r="15" spans="2:5" ht="12.75">
      <c r="B15" s="25"/>
      <c r="C15" s="25"/>
      <c r="D15" s="25"/>
      <c r="E15" s="25"/>
    </row>
    <row r="16" spans="3:9" ht="12.75">
      <c r="C16" s="25"/>
      <c r="D16" s="25"/>
      <c r="G16" s="21"/>
      <c r="H16" s="21"/>
      <c r="I16" s="21"/>
    </row>
    <row r="17" spans="3:8" ht="12.75">
      <c r="C17" s="25"/>
      <c r="D17" s="25"/>
      <c r="G17" s="13"/>
      <c r="H17" s="13"/>
    </row>
    <row r="18" spans="3:8" ht="12.75">
      <c r="C18" s="25"/>
      <c r="D18" s="25"/>
      <c r="E18" s="23"/>
      <c r="F18" s="23"/>
      <c r="G18" s="13"/>
      <c r="H18" s="13"/>
    </row>
    <row r="19" spans="2:8" ht="12.75">
      <c r="B19" s="9"/>
      <c r="C19" s="9"/>
      <c r="D19" s="9"/>
      <c r="E19" s="9"/>
      <c r="F19" s="23"/>
      <c r="G19" s="13"/>
      <c r="H19" s="13"/>
    </row>
    <row r="20" spans="2:8" ht="12.75">
      <c r="B20" s="9"/>
      <c r="C20" s="9"/>
      <c r="D20" s="9"/>
      <c r="E20" s="9"/>
      <c r="F20" s="23"/>
      <c r="G20" s="13"/>
      <c r="H20" s="13"/>
    </row>
    <row r="21" spans="2:8" ht="12.75">
      <c r="B21" s="9"/>
      <c r="C21" s="9"/>
      <c r="D21" s="9"/>
      <c r="E21" s="9"/>
      <c r="F21" s="23"/>
      <c r="G21" s="13"/>
      <c r="H21" s="13"/>
    </row>
    <row r="22" spans="1:8" ht="12.75">
      <c r="A22" s="20"/>
      <c r="B22" s="9"/>
      <c r="C22" s="9"/>
      <c r="D22" s="9"/>
      <c r="E22" s="9"/>
      <c r="F22" s="23"/>
      <c r="G22" s="13"/>
      <c r="H22" s="13"/>
    </row>
    <row r="23" spans="1:8" ht="12.75">
      <c r="A23" s="20"/>
      <c r="B23" s="9"/>
      <c r="C23" s="9"/>
      <c r="D23" s="9"/>
      <c r="E23" s="9"/>
      <c r="F23" s="23"/>
      <c r="G23" s="13"/>
      <c r="H23" s="13"/>
    </row>
    <row r="24" spans="1:8" ht="12.75">
      <c r="A24" s="20"/>
      <c r="B24" s="9"/>
      <c r="C24" s="9"/>
      <c r="D24" s="9"/>
      <c r="E24" s="9"/>
      <c r="F24" s="23"/>
      <c r="G24" s="13"/>
      <c r="H24" s="13"/>
    </row>
    <row r="25" spans="1:8" ht="12.75">
      <c r="A25" s="19"/>
      <c r="B25" s="9"/>
      <c r="C25" s="9"/>
      <c r="D25" s="9"/>
      <c r="E25" s="9"/>
      <c r="F25" s="23"/>
      <c r="G25" s="13"/>
      <c r="H25" s="13"/>
    </row>
    <row r="26" spans="1:8" ht="12.75">
      <c r="A26" s="19"/>
      <c r="B26" s="9"/>
      <c r="C26" s="9"/>
      <c r="D26" s="9"/>
      <c r="E26" s="9"/>
      <c r="F26" s="23"/>
      <c r="G26" s="13"/>
      <c r="H26" s="13"/>
    </row>
    <row r="27" spans="1:8" ht="12.75">
      <c r="A27" s="19"/>
      <c r="B27" s="9"/>
      <c r="C27" s="9"/>
      <c r="D27" s="9"/>
      <c r="E27" s="9"/>
      <c r="F27" s="23"/>
      <c r="G27" s="13"/>
      <c r="H27" s="13"/>
    </row>
    <row r="28" spans="1:8" ht="12.75">
      <c r="A28" s="19"/>
      <c r="B28" s="9"/>
      <c r="C28" s="9"/>
      <c r="D28" s="9"/>
      <c r="E28" s="9"/>
      <c r="F28" s="23"/>
      <c r="G28" s="13"/>
      <c r="H28" s="13"/>
    </row>
    <row r="29" spans="1:6" ht="12.75">
      <c r="A29" s="19"/>
      <c r="B29" s="9"/>
      <c r="C29" s="9"/>
      <c r="D29" s="9"/>
      <c r="E29" s="9"/>
      <c r="F29" s="23"/>
    </row>
    <row r="30" spans="1:6" ht="12.75">
      <c r="A30" s="19"/>
      <c r="B30" s="9"/>
      <c r="C30" s="9"/>
      <c r="D30" s="9"/>
      <c r="E30" s="9"/>
      <c r="F30" s="23"/>
    </row>
    <row r="31" spans="1:6" ht="12.75">
      <c r="A31" s="19"/>
      <c r="B31" s="9"/>
      <c r="C31" s="23"/>
      <c r="D31" s="23"/>
      <c r="E31" s="23"/>
      <c r="F31" s="23"/>
    </row>
    <row r="32" spans="1:6" ht="12.75">
      <c r="A32" s="19"/>
      <c r="B32" s="23"/>
      <c r="C32" s="23"/>
      <c r="D32" s="23"/>
      <c r="E32" s="23"/>
      <c r="F32" s="23"/>
    </row>
    <row r="33" spans="1:6" ht="12.75">
      <c r="A33" s="19"/>
      <c r="B33" s="23"/>
      <c r="C33" s="23"/>
      <c r="D33" s="23"/>
      <c r="E33" s="23"/>
      <c r="F33" s="23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0"/>
  <sheetViews>
    <sheetView zoomScale="110" zoomScaleNormal="110" zoomScalePageLayoutView="0" workbookViewId="0" topLeftCell="A1">
      <selection activeCell="B37" sqref="B37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ht="12.75">
      <c r="A1" s="10" t="s">
        <v>192</v>
      </c>
    </row>
    <row r="2" spans="1:7" ht="15.75">
      <c r="A2" s="22" t="s">
        <v>128</v>
      </c>
      <c r="B2" s="144" t="s">
        <v>189</v>
      </c>
      <c r="C2" s="143" t="s">
        <v>170</v>
      </c>
      <c r="D2" s="143" t="s">
        <v>190</v>
      </c>
      <c r="E2" s="14"/>
      <c r="F2" s="10"/>
      <c r="G2" s="22"/>
    </row>
    <row r="3" spans="1:5" ht="15.75">
      <c r="A3" s="10" t="s">
        <v>193</v>
      </c>
      <c r="B3" s="14"/>
      <c r="C3" s="10"/>
      <c r="D3" s="10"/>
      <c r="E3" s="10"/>
    </row>
    <row r="4" spans="2:4" ht="12.75">
      <c r="B4" s="10" t="s">
        <v>191</v>
      </c>
      <c r="C4" s="10"/>
      <c r="D4" s="10"/>
    </row>
    <row r="5" spans="5:7" ht="12.75">
      <c r="E5" s="41"/>
      <c r="F5" s="23"/>
      <c r="G5" s="25"/>
    </row>
    <row r="6" spans="1:7" ht="12.75">
      <c r="A6" s="144"/>
      <c r="B6" s="143"/>
      <c r="C6" s="143"/>
      <c r="D6" s="143"/>
      <c r="E6" s="41"/>
      <c r="F6" s="23"/>
      <c r="G6" s="25"/>
    </row>
    <row r="7" spans="1:7" ht="12.75">
      <c r="A7" s="146">
        <v>42278</v>
      </c>
      <c r="B7" s="13">
        <v>0.512139</v>
      </c>
      <c r="C7" s="13">
        <v>3.884696</v>
      </c>
      <c r="D7" s="13">
        <v>1.134861</v>
      </c>
      <c r="E7" s="41"/>
      <c r="F7" s="23"/>
      <c r="G7" s="25"/>
    </row>
    <row r="8" spans="1:7" ht="12.75">
      <c r="A8" s="146">
        <v>42310</v>
      </c>
      <c r="B8" s="13">
        <v>4.2542</v>
      </c>
      <c r="C8" s="13">
        <v>2.138217</v>
      </c>
      <c r="D8" s="13">
        <v>1.001033</v>
      </c>
      <c r="E8" s="41"/>
      <c r="F8" s="23"/>
      <c r="G8" s="25"/>
    </row>
    <row r="9" spans="1:7" ht="12.75">
      <c r="A9" s="146">
        <v>42342</v>
      </c>
      <c r="B9" s="13">
        <v>6.646722</v>
      </c>
      <c r="C9" s="13">
        <v>1.015785</v>
      </c>
      <c r="D9" s="13">
        <v>1.457337</v>
      </c>
      <c r="E9" s="41"/>
      <c r="F9" s="23"/>
      <c r="G9" s="25"/>
    </row>
    <row r="10" spans="1:7" ht="12.75">
      <c r="A10" s="146">
        <v>42374</v>
      </c>
      <c r="B10" s="13">
        <v>4.634265</v>
      </c>
      <c r="C10" s="13">
        <v>0.620743</v>
      </c>
      <c r="D10" s="13">
        <v>0.401889</v>
      </c>
      <c r="E10" s="41"/>
      <c r="F10" s="23"/>
      <c r="G10" s="25"/>
    </row>
    <row r="11" spans="1:7" ht="12.75">
      <c r="A11" s="146">
        <v>42406</v>
      </c>
      <c r="B11" s="13">
        <v>3.888122</v>
      </c>
      <c r="C11" s="145">
        <v>0.267146</v>
      </c>
      <c r="D11" s="145">
        <v>0.3525</v>
      </c>
      <c r="E11" s="41"/>
      <c r="F11" s="23"/>
      <c r="G11" s="25"/>
    </row>
    <row r="12" spans="1:6" ht="12.75">
      <c r="A12" s="146">
        <v>42438</v>
      </c>
      <c r="B12" s="13">
        <v>4.57256</v>
      </c>
      <c r="C12" s="13">
        <v>1.259725</v>
      </c>
      <c r="D12" s="13">
        <v>0.265247</v>
      </c>
      <c r="F12" s="23"/>
    </row>
    <row r="13" spans="1:6" ht="12.75">
      <c r="A13" s="146">
        <v>42470</v>
      </c>
      <c r="B13" s="13">
        <v>2.024574</v>
      </c>
      <c r="C13" s="13">
        <v>4.815048</v>
      </c>
      <c r="D13" s="13">
        <v>0.231514</v>
      </c>
      <c r="F13" s="23"/>
    </row>
    <row r="14" spans="1:6" ht="12.75">
      <c r="A14" s="146">
        <v>42502</v>
      </c>
      <c r="B14" s="13">
        <v>0.552221</v>
      </c>
      <c r="C14" s="13">
        <v>7.016647</v>
      </c>
      <c r="D14" s="13">
        <v>0.095306</v>
      </c>
      <c r="F14" s="23"/>
    </row>
    <row r="15" spans="1:6" ht="12.75">
      <c r="A15" s="146">
        <v>42534</v>
      </c>
      <c r="B15" s="13">
        <v>0.101582</v>
      </c>
      <c r="C15" s="13">
        <v>6.87494</v>
      </c>
      <c r="D15" s="13">
        <v>0.588283</v>
      </c>
      <c r="F15" s="23"/>
    </row>
    <row r="16" spans="1:4" ht="12.75">
      <c r="A16" s="146">
        <v>42566</v>
      </c>
      <c r="B16" s="13">
        <v>0.003962</v>
      </c>
      <c r="C16" s="13">
        <v>5.97785</v>
      </c>
      <c r="D16" s="13">
        <v>1.775974</v>
      </c>
    </row>
    <row r="17" spans="1:9" ht="12.75">
      <c r="A17" s="146">
        <v>42598</v>
      </c>
      <c r="B17" s="13">
        <v>0.364003</v>
      </c>
      <c r="C17" s="145">
        <v>4.956337</v>
      </c>
      <c r="D17" s="145">
        <v>2.350761</v>
      </c>
      <c r="G17" s="21"/>
      <c r="H17" s="21"/>
      <c r="I17" s="21"/>
    </row>
    <row r="18" spans="1:8" ht="12.75">
      <c r="A18" s="146">
        <v>42630</v>
      </c>
      <c r="B18" s="13">
        <v>1.355702</v>
      </c>
      <c r="C18" s="145">
        <v>3.756358</v>
      </c>
      <c r="D18" s="145">
        <v>2.081698</v>
      </c>
      <c r="G18" s="13"/>
      <c r="H18" s="13"/>
    </row>
    <row r="19" spans="1:8" ht="12.75">
      <c r="A19" s="146">
        <v>42662</v>
      </c>
      <c r="B19" s="13">
        <v>2.430768</v>
      </c>
      <c r="C19" s="145">
        <v>1.452048</v>
      </c>
      <c r="D19" s="145">
        <v>1.330906</v>
      </c>
      <c r="E19" s="23"/>
      <c r="F19" s="23"/>
      <c r="G19" s="13"/>
      <c r="H19" s="13"/>
    </row>
    <row r="20" spans="1:8" ht="12.75">
      <c r="A20" s="146">
        <v>42694</v>
      </c>
      <c r="B20" s="13">
        <v>5.617534</v>
      </c>
      <c r="C20" s="145">
        <v>0.725002</v>
      </c>
      <c r="D20" s="145">
        <v>1.492875</v>
      </c>
      <c r="E20" s="23"/>
      <c r="F20" s="23"/>
      <c r="G20" s="13"/>
      <c r="H20" s="13"/>
    </row>
    <row r="21" spans="1:8" ht="12.75">
      <c r="A21" s="146">
        <v>42726</v>
      </c>
      <c r="B21" s="13">
        <v>8.112419</v>
      </c>
      <c r="C21" s="145">
        <v>0.314709</v>
      </c>
      <c r="D21" s="145">
        <v>0.568953</v>
      </c>
      <c r="E21" s="23"/>
      <c r="F21" s="23"/>
      <c r="G21" s="13"/>
      <c r="H21" s="13"/>
    </row>
    <row r="22" spans="1:8" ht="12.75">
      <c r="A22" s="146">
        <v>42758</v>
      </c>
      <c r="B22" s="13">
        <v>6.777647</v>
      </c>
      <c r="C22" s="145">
        <v>0.253028</v>
      </c>
      <c r="D22" s="145">
        <v>0.624387</v>
      </c>
      <c r="E22" s="23"/>
      <c r="F22" s="23"/>
      <c r="G22" s="13"/>
      <c r="H22" s="13"/>
    </row>
    <row r="23" spans="1:8" ht="12.75">
      <c r="A23" s="146">
        <v>42790</v>
      </c>
      <c r="B23" s="13">
        <v>4.426103</v>
      </c>
      <c r="C23" s="145">
        <v>0.68735</v>
      </c>
      <c r="D23" s="145">
        <v>0.424317</v>
      </c>
      <c r="E23" s="23"/>
      <c r="F23" s="23"/>
      <c r="G23" s="13"/>
      <c r="H23" s="13"/>
    </row>
    <row r="24" spans="1:8" ht="12.75">
      <c r="A24" s="146">
        <v>42822</v>
      </c>
      <c r="B24" s="13">
        <v>4.222971</v>
      </c>
      <c r="C24" s="145">
        <v>1.749323</v>
      </c>
      <c r="D24" s="145">
        <v>0.354335</v>
      </c>
      <c r="E24" s="23"/>
      <c r="F24" s="23"/>
      <c r="G24" s="13"/>
      <c r="H24" s="13"/>
    </row>
    <row r="25" spans="1:8" ht="12.75">
      <c r="A25" s="146">
        <v>42854</v>
      </c>
      <c r="B25" s="13">
        <v>1.777058</v>
      </c>
      <c r="C25" s="145">
        <v>6.150255</v>
      </c>
      <c r="D25" s="145">
        <v>0.088145</v>
      </c>
      <c r="E25" s="23"/>
      <c r="F25" s="23"/>
      <c r="G25" s="13"/>
      <c r="H25" s="13"/>
    </row>
    <row r="26" spans="1:8" ht="12.75">
      <c r="A26" s="146">
        <v>42886</v>
      </c>
      <c r="B26" s="13">
        <v>1.470025</v>
      </c>
      <c r="C26" s="145">
        <v>7.939055</v>
      </c>
      <c r="D26" s="145">
        <v>0.177509</v>
      </c>
      <c r="E26" s="23"/>
      <c r="F26" s="23"/>
      <c r="G26" s="13"/>
      <c r="H26" s="13"/>
    </row>
    <row r="27" spans="1:8" ht="12.75">
      <c r="A27" s="146">
        <v>42888</v>
      </c>
      <c r="B27" s="145">
        <v>0.387093</v>
      </c>
      <c r="C27" s="145">
        <v>6.417862</v>
      </c>
      <c r="D27" s="145">
        <v>0.881694</v>
      </c>
      <c r="E27" s="23"/>
      <c r="F27" s="23"/>
      <c r="G27" s="13"/>
      <c r="H27" s="13"/>
    </row>
    <row r="28" spans="1:8" ht="12.75">
      <c r="A28" s="146">
        <v>42919</v>
      </c>
      <c r="B28" s="145">
        <v>0.499922</v>
      </c>
      <c r="C28" s="145">
        <v>7.635939</v>
      </c>
      <c r="D28" s="145">
        <v>1.945034</v>
      </c>
      <c r="E28" s="23"/>
      <c r="F28" s="23"/>
      <c r="G28" s="13"/>
      <c r="H28" s="13"/>
    </row>
    <row r="29" spans="1:8" ht="12.75">
      <c r="A29" s="146">
        <v>42950</v>
      </c>
      <c r="B29" s="145">
        <v>0.17949</v>
      </c>
      <c r="C29" s="145">
        <v>6.079284</v>
      </c>
      <c r="D29" s="145">
        <v>2.188944</v>
      </c>
      <c r="E29" s="23"/>
      <c r="F29" s="23"/>
      <c r="G29" s="13"/>
      <c r="H29" s="13"/>
    </row>
    <row r="30" spans="1:6" ht="12.75">
      <c r="A30" s="146">
        <v>42981</v>
      </c>
      <c r="B30" s="145">
        <v>0.937262</v>
      </c>
      <c r="C30" s="145">
        <v>5.938073</v>
      </c>
      <c r="D30" s="145">
        <v>1.237342</v>
      </c>
      <c r="E30" s="23"/>
      <c r="F30" s="23"/>
    </row>
    <row r="31" spans="1:6" ht="12.75">
      <c r="A31" s="146">
        <v>43012</v>
      </c>
      <c r="B31" s="145">
        <v>1.325207</v>
      </c>
      <c r="C31" s="145">
        <v>3.376114</v>
      </c>
      <c r="D31" s="145">
        <v>1.154744</v>
      </c>
      <c r="E31" s="23"/>
      <c r="F31" s="23"/>
    </row>
    <row r="32" spans="1:6" ht="12.75">
      <c r="A32" s="146">
        <v>43043</v>
      </c>
      <c r="B32" s="145">
        <v>4.66195</v>
      </c>
      <c r="C32" s="145">
        <v>2.760485</v>
      </c>
      <c r="D32" s="145">
        <v>1.261745</v>
      </c>
      <c r="E32" s="23"/>
      <c r="F32" s="23"/>
    </row>
    <row r="33" spans="1:6" ht="12.75">
      <c r="A33" s="146">
        <v>43074</v>
      </c>
      <c r="B33" s="145">
        <v>6.18932</v>
      </c>
      <c r="C33" s="145">
        <v>1.941927</v>
      </c>
      <c r="D33" s="145">
        <v>1.415563</v>
      </c>
      <c r="E33" s="23"/>
      <c r="F33" s="23"/>
    </row>
    <row r="34" spans="1:6" ht="12.75">
      <c r="A34" s="146">
        <v>43105</v>
      </c>
      <c r="B34" s="145">
        <v>5.816287</v>
      </c>
      <c r="C34" s="145">
        <v>2.074494</v>
      </c>
      <c r="D34" s="145">
        <v>0.590055</v>
      </c>
      <c r="E34" s="23"/>
      <c r="F34" s="23"/>
    </row>
    <row r="35" spans="1:5" ht="12.75">
      <c r="A35" s="146">
        <v>43136</v>
      </c>
      <c r="B35" s="18">
        <v>3.345109</v>
      </c>
      <c r="C35" s="13">
        <v>1.746279</v>
      </c>
      <c r="D35" s="13">
        <v>0.332847</v>
      </c>
      <c r="E35" s="13"/>
    </row>
    <row r="36" spans="1:5" ht="12.75">
      <c r="A36" s="146">
        <v>43167</v>
      </c>
      <c r="B36" s="18">
        <v>3.099562</v>
      </c>
      <c r="C36" s="13">
        <v>2.332516</v>
      </c>
      <c r="D36" s="13">
        <v>0.229671</v>
      </c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3"/>
      <c r="D45" s="13"/>
      <c r="E45" s="13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  <row r="50" spans="1:5" ht="12.75">
      <c r="A50" s="19"/>
      <c r="B50" s="19"/>
      <c r="C50" s="18"/>
      <c r="D50" s="18"/>
      <c r="E50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42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4.25">
      <c r="A2" s="43"/>
      <c r="B2" s="150" t="s">
        <v>27</v>
      </c>
      <c r="C2" s="150"/>
      <c r="D2" s="45" t="s">
        <v>30</v>
      </c>
      <c r="E2" s="150" t="s">
        <v>92</v>
      </c>
      <c r="F2" s="150"/>
      <c r="G2" s="150"/>
      <c r="H2" s="150"/>
      <c r="I2" s="46"/>
      <c r="J2" s="150" t="s">
        <v>70</v>
      </c>
      <c r="K2" s="150"/>
      <c r="L2" s="150"/>
      <c r="M2" s="150"/>
      <c r="N2" s="43"/>
    </row>
    <row r="3" spans="1:14" ht="14.25">
      <c r="A3" s="43" t="s">
        <v>84</v>
      </c>
      <c r="B3" s="45" t="s">
        <v>28</v>
      </c>
      <c r="C3" s="43" t="s">
        <v>29</v>
      </c>
      <c r="D3" s="45"/>
      <c r="E3" s="47" t="s">
        <v>8</v>
      </c>
      <c r="F3" s="47"/>
      <c r="G3" s="47"/>
      <c r="H3" s="47"/>
      <c r="I3" s="47"/>
      <c r="J3" s="45" t="s">
        <v>72</v>
      </c>
      <c r="K3" s="47" t="s">
        <v>101</v>
      </c>
      <c r="L3" s="47"/>
      <c r="M3" s="47"/>
      <c r="N3" s="47" t="s">
        <v>6</v>
      </c>
    </row>
    <row r="4" spans="1:14" ht="14.25">
      <c r="A4" s="48" t="s">
        <v>88</v>
      </c>
      <c r="B4" s="49"/>
      <c r="C4" s="49"/>
      <c r="D4" s="49"/>
      <c r="E4" s="50" t="s">
        <v>7</v>
      </c>
      <c r="F4" s="50" t="s">
        <v>1</v>
      </c>
      <c r="G4" s="51" t="s">
        <v>2</v>
      </c>
      <c r="H4" s="52" t="s">
        <v>3</v>
      </c>
      <c r="I4" s="51"/>
      <c r="J4" s="51"/>
      <c r="K4" s="51" t="s">
        <v>5</v>
      </c>
      <c r="L4" s="52" t="s">
        <v>4</v>
      </c>
      <c r="M4" s="50" t="s">
        <v>3</v>
      </c>
      <c r="N4" s="51" t="s">
        <v>7</v>
      </c>
    </row>
    <row r="5" spans="1:14" ht="14.25">
      <c r="A5" s="43"/>
      <c r="B5" s="148" t="s">
        <v>93</v>
      </c>
      <c r="C5" s="149"/>
      <c r="D5" s="53" t="s">
        <v>75</v>
      </c>
      <c r="E5" s="148" t="s">
        <v>95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43" t="s">
        <v>129</v>
      </c>
      <c r="B6" s="54">
        <v>83.433</v>
      </c>
      <c r="C6" s="54">
        <v>82.696</v>
      </c>
      <c r="D6" s="54">
        <f>+F6/C6</f>
        <v>51.9503482635194</v>
      </c>
      <c r="E6" s="55">
        <v>196.729</v>
      </c>
      <c r="F6" s="56">
        <f>F15</f>
        <v>4296.086</v>
      </c>
      <c r="G6" s="57">
        <f>G28</f>
        <v>22.280875923872998</v>
      </c>
      <c r="H6" s="57">
        <f>SUM(E6:G6)</f>
        <v>4515.095875923874</v>
      </c>
      <c r="I6" s="43"/>
      <c r="J6" s="56">
        <f>J28</f>
        <v>1901.1980666666668</v>
      </c>
      <c r="K6" s="56">
        <f>M6-J6-L6</f>
        <v>145.88582285110306</v>
      </c>
      <c r="L6" s="57">
        <f>L28</f>
        <v>2166.4169864061037</v>
      </c>
      <c r="M6" s="57">
        <f>+H6-N6</f>
        <v>4213.5008759238735</v>
      </c>
      <c r="N6" s="57">
        <f>N27</f>
        <v>301.595</v>
      </c>
    </row>
    <row r="7" spans="1:14" ht="16.5">
      <c r="A7" s="43" t="s">
        <v>130</v>
      </c>
      <c r="B7" s="54">
        <v>90.142</v>
      </c>
      <c r="C7" s="54">
        <v>89.522</v>
      </c>
      <c r="D7" s="54">
        <f>+F7/C7</f>
        <v>49.0555729317933</v>
      </c>
      <c r="E7" s="55">
        <f>N6</f>
        <v>301.595</v>
      </c>
      <c r="F7" s="56">
        <f>F34</f>
        <v>4391.553</v>
      </c>
      <c r="G7" s="57">
        <v>22</v>
      </c>
      <c r="H7" s="57">
        <f>SUM(E7:G7)</f>
        <v>4715.148</v>
      </c>
      <c r="I7" s="43"/>
      <c r="J7" s="56">
        <v>2030</v>
      </c>
      <c r="K7" s="56">
        <f>M7-J7-L7</f>
        <v>135.14800000000014</v>
      </c>
      <c r="L7" s="57">
        <v>2085</v>
      </c>
      <c r="M7" s="57">
        <f>+H7-N7</f>
        <v>4250.148</v>
      </c>
      <c r="N7" s="57">
        <v>465</v>
      </c>
    </row>
    <row r="8" spans="1:14" ht="16.5">
      <c r="A8" s="43" t="s">
        <v>172</v>
      </c>
      <c r="B8" s="54">
        <v>89.557</v>
      </c>
      <c r="C8" s="54">
        <v>88.862</v>
      </c>
      <c r="D8" s="54">
        <f>+F8/C8</f>
        <v>48.50217190700187</v>
      </c>
      <c r="E8" s="55">
        <f>N7</f>
        <v>465</v>
      </c>
      <c r="F8" s="56">
        <v>4310</v>
      </c>
      <c r="G8" s="57">
        <v>25.45</v>
      </c>
      <c r="H8" s="57">
        <f>SUM(E8:G8)</f>
        <v>4800.45</v>
      </c>
      <c r="I8" s="43"/>
      <c r="J8" s="56">
        <v>2045</v>
      </c>
      <c r="K8" s="56">
        <f>M8-J8-L8</f>
        <v>135.44999999999982</v>
      </c>
      <c r="L8" s="57">
        <v>2040</v>
      </c>
      <c r="M8" s="57">
        <f>+H8-N8</f>
        <v>4220.45</v>
      </c>
      <c r="N8" s="57">
        <v>580</v>
      </c>
    </row>
    <row r="9" spans="1:14" ht="14.25">
      <c r="A9" s="46"/>
      <c r="B9" s="46"/>
      <c r="C9" s="46"/>
      <c r="D9" s="46"/>
      <c r="E9" s="59"/>
      <c r="F9" s="59"/>
      <c r="G9" s="60"/>
      <c r="H9" s="59"/>
      <c r="I9" s="59"/>
      <c r="J9" s="60"/>
      <c r="K9" s="60"/>
      <c r="L9" s="60"/>
      <c r="M9" s="60"/>
      <c r="N9" s="61"/>
    </row>
    <row r="10" spans="1:14" ht="14.25">
      <c r="A10" s="46" t="s">
        <v>74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90"/>
    </row>
    <row r="11" spans="1:14" ht="18.75" customHeight="1">
      <c r="A11" s="43" t="s">
        <v>120</v>
      </c>
      <c r="B11" s="46"/>
      <c r="C11" s="46"/>
      <c r="D11" s="46"/>
      <c r="E11" s="61"/>
      <c r="F11" s="63"/>
      <c r="G11" s="64"/>
      <c r="H11" s="65"/>
      <c r="I11" s="65"/>
      <c r="J11" s="65"/>
      <c r="K11" s="66"/>
      <c r="L11" s="64"/>
      <c r="M11" s="63"/>
      <c r="N11" s="67"/>
    </row>
    <row r="12" spans="1:14" ht="18.75" customHeight="1">
      <c r="A12" s="46" t="s">
        <v>105</v>
      </c>
      <c r="B12" s="46"/>
      <c r="C12" s="46"/>
      <c r="D12" s="46"/>
      <c r="E12" s="61"/>
      <c r="F12" s="63"/>
      <c r="G12" s="64">
        <f>(12.486284+44.365888+5.969151)*2.204622/60</f>
        <v>2.3082878459151</v>
      </c>
      <c r="H12" s="65"/>
      <c r="I12" s="65"/>
      <c r="J12" s="65">
        <f>4.148008*2000/60</f>
        <v>138.26693333333333</v>
      </c>
      <c r="K12" s="66"/>
      <c r="L12" s="64">
        <f>(34.073378+3714.618)*2.204622/60</f>
        <v>137.74079138581862</v>
      </c>
      <c r="M12" s="63"/>
      <c r="N12" s="67"/>
    </row>
    <row r="13" spans="1:14" ht="18.75" customHeight="1">
      <c r="A13" s="46" t="s">
        <v>111</v>
      </c>
      <c r="B13" s="46"/>
      <c r="C13" s="46"/>
      <c r="D13" s="46"/>
      <c r="E13" s="61"/>
      <c r="F13" s="63"/>
      <c r="G13" s="64">
        <f>(14.361127+29.41625+4.478324)*2.204622/60</f>
        <v>1.7730930008337003</v>
      </c>
      <c r="H13" s="65"/>
      <c r="I13" s="65"/>
      <c r="J13" s="65">
        <f>5.276415*2000/60</f>
        <v>175.8805</v>
      </c>
      <c r="K13" s="66"/>
      <c r="L13" s="64">
        <f>(69.837116+11099.403)*2.204622/60</f>
        <v>410.39920805026924</v>
      </c>
      <c r="M13" s="63"/>
      <c r="N13" s="67"/>
    </row>
    <row r="14" spans="1:14" ht="18.75" customHeight="1">
      <c r="A14" s="46" t="s">
        <v>113</v>
      </c>
      <c r="B14" s="46"/>
      <c r="C14" s="46"/>
      <c r="D14" s="46"/>
      <c r="E14" s="61"/>
      <c r="F14" s="63"/>
      <c r="G14" s="64">
        <f>(6.407137+26.146455+5.06881)*2.204622/60</f>
        <v>1.3823862523674002</v>
      </c>
      <c r="H14" s="65"/>
      <c r="I14" s="65"/>
      <c r="J14" s="65">
        <f>5.122038*2000/60</f>
        <v>170.73459999999997</v>
      </c>
      <c r="K14" s="66"/>
      <c r="L14" s="64">
        <f>(56.047981+10306.728)*2.204622/60</f>
        <v>380.76673181306967</v>
      </c>
      <c r="M14" s="63"/>
      <c r="N14" s="67"/>
    </row>
    <row r="15" spans="1:14" ht="18.75" customHeight="1">
      <c r="A15" s="43" t="s">
        <v>80</v>
      </c>
      <c r="B15" s="46"/>
      <c r="C15" s="46"/>
      <c r="D15" s="46"/>
      <c r="E15" s="61">
        <v>196.729</v>
      </c>
      <c r="F15" s="68">
        <v>4296.086</v>
      </c>
      <c r="G15" s="64">
        <f>G12+G13+G14</f>
        <v>5.4637670991162</v>
      </c>
      <c r="H15" s="65">
        <f>SUM(E15:G15)</f>
        <v>4498.2787670991165</v>
      </c>
      <c r="I15" s="65"/>
      <c r="J15" s="65">
        <f>J12+J13+J14</f>
        <v>484.8820333333333</v>
      </c>
      <c r="K15" s="69">
        <f>M15-L15-J15</f>
        <v>185.43400251662558</v>
      </c>
      <c r="L15" s="64">
        <f>L12+L13+L14</f>
        <v>928.9067312491576</v>
      </c>
      <c r="M15" s="64">
        <f>H15-N15</f>
        <v>1599.2227670991165</v>
      </c>
      <c r="N15" s="65">
        <v>2899.056</v>
      </c>
    </row>
    <row r="16" spans="1:14" ht="18.75" customHeight="1">
      <c r="A16" s="43" t="s">
        <v>114</v>
      </c>
      <c r="B16" s="46"/>
      <c r="C16" s="46"/>
      <c r="D16" s="46"/>
      <c r="E16" s="61"/>
      <c r="F16" s="63"/>
      <c r="G16" s="64">
        <f>(4.172442+23.85058+3.852958)*2.204622/60</f>
        <v>1.1712414463260001</v>
      </c>
      <c r="H16" s="65"/>
      <c r="I16" s="65"/>
      <c r="J16" s="65">
        <f>5.071493*2000/60</f>
        <v>169.04976666666667</v>
      </c>
      <c r="K16" s="64"/>
      <c r="L16" s="64">
        <f>(40.570246+7939.352)*2.204622/60</f>
        <v>293.2118690303502</v>
      </c>
      <c r="M16" s="63"/>
      <c r="N16" s="67"/>
    </row>
    <row r="17" spans="1:14" ht="18.75" customHeight="1">
      <c r="A17" s="43" t="s">
        <v>115</v>
      </c>
      <c r="B17" s="46"/>
      <c r="C17" s="46"/>
      <c r="D17" s="46"/>
      <c r="E17" s="61"/>
      <c r="F17" s="63"/>
      <c r="G17" s="64">
        <f>(9.075178+55.349193+23.018569)*2.204622/60</f>
        <v>3.2129771544779997</v>
      </c>
      <c r="H17" s="65"/>
      <c r="I17" s="65"/>
      <c r="J17" s="65">
        <f>5.139706*2000/60</f>
        <v>171.32353333333333</v>
      </c>
      <c r="K17" s="64"/>
      <c r="L17" s="64">
        <f>(56.504787+6959.433)*2.204622/60</f>
        <v>257.7915132641919</v>
      </c>
      <c r="M17" s="63"/>
      <c r="N17" s="67"/>
    </row>
    <row r="18" spans="1:14" ht="18.75" customHeight="1">
      <c r="A18" s="43" t="s">
        <v>116</v>
      </c>
      <c r="B18" s="46"/>
      <c r="C18" s="46"/>
      <c r="D18" s="46"/>
      <c r="E18" s="61"/>
      <c r="F18" s="63"/>
      <c r="G18" s="64">
        <f>(12.795861+41.99596+6.673116)*2.204622/60</f>
        <v>2.2584492056469</v>
      </c>
      <c r="H18" s="65"/>
      <c r="I18" s="65"/>
      <c r="J18" s="65">
        <f>4.542336*2000/60</f>
        <v>151.41119999999998</v>
      </c>
      <c r="K18" s="64"/>
      <c r="L18" s="64">
        <f>(49.244032+4410.279)*2.204622/60</f>
        <v>163.8593764308984</v>
      </c>
      <c r="M18" s="63"/>
      <c r="N18" s="67"/>
    </row>
    <row r="19" spans="1:14" ht="18.75" customHeight="1">
      <c r="A19" s="43" t="s">
        <v>81</v>
      </c>
      <c r="B19" s="46"/>
      <c r="C19" s="46"/>
      <c r="D19" s="46"/>
      <c r="E19" s="61">
        <f>N15</f>
        <v>2899.056</v>
      </c>
      <c r="F19" s="68"/>
      <c r="G19" s="64">
        <f>SUM(G16:G18)</f>
        <v>6.6426678064509</v>
      </c>
      <c r="H19" s="65">
        <f>E19+F19+G19</f>
        <v>2905.698667806451</v>
      </c>
      <c r="I19" s="65"/>
      <c r="J19" s="65">
        <f>SUM(J16:J18)</f>
        <v>491.7845</v>
      </c>
      <c r="K19" s="69">
        <f>M19-L19-J19</f>
        <v>-39.88159091898956</v>
      </c>
      <c r="L19" s="64">
        <f>SUM(L16:L18)</f>
        <v>714.8627587254405</v>
      </c>
      <c r="M19" s="64">
        <f>H19-N19</f>
        <v>1166.765667806451</v>
      </c>
      <c r="N19" s="65">
        <v>1738.933</v>
      </c>
    </row>
    <row r="20" spans="1:14" ht="18.75" customHeight="1">
      <c r="A20" s="43" t="s">
        <v>117</v>
      </c>
      <c r="B20" s="46"/>
      <c r="C20" s="46"/>
      <c r="D20" s="46"/>
      <c r="E20" s="61"/>
      <c r="F20" s="68"/>
      <c r="G20" s="64">
        <f>(12.802702+24.710424+22.918814)*2.204622/60</f>
        <v>2.220493073778</v>
      </c>
      <c r="H20" s="65"/>
      <c r="I20" s="65"/>
      <c r="J20" s="65">
        <f>4.822961*2000/60</f>
        <v>160.76536666666667</v>
      </c>
      <c r="K20" s="69"/>
      <c r="L20" s="64">
        <f>(69.313126+3150.252)*2.204622/60</f>
        <v>118.2987351202062</v>
      </c>
      <c r="M20" s="64"/>
      <c r="N20" s="65"/>
    </row>
    <row r="21" spans="1:14" ht="18.75" customHeight="1">
      <c r="A21" s="43" t="s">
        <v>118</v>
      </c>
      <c r="B21" s="46"/>
      <c r="C21" s="46"/>
      <c r="D21" s="46"/>
      <c r="E21" s="61"/>
      <c r="F21" s="68"/>
      <c r="G21" s="64">
        <f>(8.608414+28.921838+6.119378)*2.204622/60</f>
        <v>1.6038489098310003</v>
      </c>
      <c r="H21" s="65"/>
      <c r="I21" s="65"/>
      <c r="J21" s="65">
        <f>4.509463*2000/60</f>
        <v>150.31543333333335</v>
      </c>
      <c r="K21" s="69"/>
      <c r="L21" s="64">
        <f>(63.656221+2395.058)*2.204622/60</f>
        <v>90.34225772215771</v>
      </c>
      <c r="M21" s="64"/>
      <c r="N21" s="65"/>
    </row>
    <row r="22" spans="1:14" ht="18.75" customHeight="1">
      <c r="A22" s="43" t="s">
        <v>119</v>
      </c>
      <c r="B22" s="46"/>
      <c r="C22" s="46"/>
      <c r="D22" s="46"/>
      <c r="E22" s="61"/>
      <c r="F22" s="68"/>
      <c r="G22" s="64">
        <f>(8.842215+42.463786+6.529771)*2.204622/60</f>
        <v>2.1251002556364</v>
      </c>
      <c r="H22" s="65"/>
      <c r="I22" s="65"/>
      <c r="J22" s="65">
        <f>4.739387*2000/60</f>
        <v>157.97956666666667</v>
      </c>
      <c r="K22" s="69"/>
      <c r="L22" s="64">
        <f>(49.304396+1401.625)*2.204622/60</f>
        <v>53.312514447805206</v>
      </c>
      <c r="M22" s="64"/>
      <c r="N22" s="65"/>
    </row>
    <row r="23" spans="1:14" ht="18.75" customHeight="1">
      <c r="A23" s="43" t="s">
        <v>82</v>
      </c>
      <c r="B23" s="46"/>
      <c r="C23" s="46"/>
      <c r="D23" s="46"/>
      <c r="E23" s="61">
        <f>N19</f>
        <v>1738.933</v>
      </c>
      <c r="F23" s="68"/>
      <c r="G23" s="64">
        <f>SUM(G20:G22)</f>
        <v>5.9494422392454</v>
      </c>
      <c r="H23" s="65">
        <f>E23+F23+G23</f>
        <v>1744.8824422392454</v>
      </c>
      <c r="I23" s="65"/>
      <c r="J23" s="65">
        <f>SUM(J20:J22)</f>
        <v>469.0603666666667</v>
      </c>
      <c r="K23" s="69">
        <f>M23-L23-J23</f>
        <v>48.012568282409575</v>
      </c>
      <c r="L23" s="64">
        <f>SUM(L20:L22)</f>
        <v>261.9535072901691</v>
      </c>
      <c r="M23" s="64">
        <f>H23-N23</f>
        <v>779.0264422392454</v>
      </c>
      <c r="N23" s="65">
        <v>965.856</v>
      </c>
    </row>
    <row r="24" spans="1:14" ht="18.75" customHeight="1">
      <c r="A24" s="43" t="s">
        <v>66</v>
      </c>
      <c r="B24" s="46"/>
      <c r="C24" s="46"/>
      <c r="D24" s="46"/>
      <c r="E24" s="61"/>
      <c r="F24" s="68"/>
      <c r="G24" s="64">
        <f>(4.988414+15.473351+8.217032)*2.204622/60</f>
        <v>1.0537651133288999</v>
      </c>
      <c r="H24" s="65"/>
      <c r="I24" s="65"/>
      <c r="J24" s="65">
        <f>4.446863*2000/60</f>
        <v>148.22876666666664</v>
      </c>
      <c r="K24" s="69"/>
      <c r="L24" s="64">
        <f>(44.986986+1741.271)*2.204622/60</f>
        <v>65.6337275601882</v>
      </c>
      <c r="M24" s="64"/>
      <c r="N24" s="65"/>
    </row>
    <row r="25" spans="1:14" ht="18.75" customHeight="1">
      <c r="A25" s="43" t="s">
        <v>104</v>
      </c>
      <c r="B25" s="46"/>
      <c r="C25" s="46"/>
      <c r="D25" s="46"/>
      <c r="E25" s="61"/>
      <c r="F25" s="68"/>
      <c r="G25" s="64">
        <f>(3.509596+37.139523+6.116156)*2.204622/60</f>
        <v>1.7183292350175001</v>
      </c>
      <c r="H25" s="65"/>
      <c r="I25" s="65"/>
      <c r="J25" s="65">
        <f>4.66868*2000/60</f>
        <v>155.62266666666667</v>
      </c>
      <c r="K25" s="69"/>
      <c r="L25" s="64">
        <f>(28.793709+2289.719)*2.204622/60</f>
        <v>85.1907354256833</v>
      </c>
      <c r="M25" s="64"/>
      <c r="N25" s="65"/>
    </row>
    <row r="26" spans="1:14" ht="18.75" customHeight="1">
      <c r="A26" s="43" t="s">
        <v>69</v>
      </c>
      <c r="B26" s="46"/>
      <c r="C26" s="46"/>
      <c r="D26" s="46"/>
      <c r="E26" s="61"/>
      <c r="F26" s="68"/>
      <c r="G26" s="64">
        <f>(3.239739+29.130588+7.171266)*2.204622/60</f>
        <v>1.4529044307141001</v>
      </c>
      <c r="H26" s="65"/>
      <c r="I26" s="65"/>
      <c r="J26" s="65">
        <f>4.548592*2000/60</f>
        <v>151.61973333333336</v>
      </c>
      <c r="K26" s="69"/>
      <c r="L26" s="64">
        <f>(42.412569+2947.747)*2.204622/60</f>
        <v>109.86952615546531</v>
      </c>
      <c r="M26" s="64"/>
      <c r="N26" s="65"/>
    </row>
    <row r="27" spans="1:14" ht="18.75" customHeight="1">
      <c r="A27" s="70" t="s">
        <v>83</v>
      </c>
      <c r="B27" s="46"/>
      <c r="C27" s="46"/>
      <c r="D27" s="46"/>
      <c r="E27" s="61">
        <f>N23</f>
        <v>965.856</v>
      </c>
      <c r="F27" s="68"/>
      <c r="G27" s="64">
        <f>SUM(G24:G26)</f>
        <v>4.2249987790605</v>
      </c>
      <c r="H27" s="65">
        <f>SUM(E27:G27)</f>
        <v>970.0809987790605</v>
      </c>
      <c r="I27" s="65"/>
      <c r="J27" s="65">
        <f>SUM(J24:J26)</f>
        <v>455.4711666666667</v>
      </c>
      <c r="K27" s="69">
        <f>M27-L27-J27</f>
        <v>-47.67915702894311</v>
      </c>
      <c r="L27" s="64">
        <f>SUM(L24:L26)</f>
        <v>260.69398914133683</v>
      </c>
      <c r="M27" s="64">
        <f>+H27-N27</f>
        <v>668.4859987790604</v>
      </c>
      <c r="N27" s="65">
        <v>301.595</v>
      </c>
    </row>
    <row r="28" spans="1:14" ht="18.75" customHeight="1">
      <c r="A28" s="43" t="s">
        <v>3</v>
      </c>
      <c r="B28" s="46"/>
      <c r="C28" s="46"/>
      <c r="D28" s="46"/>
      <c r="E28" s="61"/>
      <c r="F28" s="68">
        <f>F15+F19+F23+F27</f>
        <v>4296.086</v>
      </c>
      <c r="G28" s="64">
        <f>G15+G19+G23+G27</f>
        <v>22.280875923872998</v>
      </c>
      <c r="H28" s="65">
        <f>E15+F28+G28</f>
        <v>4515.095875923874</v>
      </c>
      <c r="I28" s="65"/>
      <c r="J28" s="65">
        <f>J15+J19+J23+J27</f>
        <v>1901.1980666666668</v>
      </c>
      <c r="K28" s="69">
        <f>K15+K19+K23+K27</f>
        <v>145.8858228511025</v>
      </c>
      <c r="L28" s="64">
        <f>L15+L19+L23+L27</f>
        <v>2166.4169864061037</v>
      </c>
      <c r="M28" s="64">
        <f>M15+M19+M23+M27</f>
        <v>4213.5008759238735</v>
      </c>
      <c r="N28" s="65"/>
    </row>
    <row r="29" spans="1:14" ht="18.75" customHeight="1">
      <c r="A29" s="46"/>
      <c r="B29" s="46"/>
      <c r="C29" s="46"/>
      <c r="D29" s="46"/>
      <c r="E29" s="61"/>
      <c r="F29" s="63"/>
      <c r="G29" s="64"/>
      <c r="H29" s="65"/>
      <c r="I29" s="65"/>
      <c r="J29" s="65"/>
      <c r="K29" s="66"/>
      <c r="L29" s="64"/>
      <c r="M29" s="64"/>
      <c r="N29" s="67"/>
    </row>
    <row r="30" spans="1:14" ht="18.75" customHeight="1">
      <c r="A30" s="43" t="s">
        <v>123</v>
      </c>
      <c r="B30" s="46"/>
      <c r="C30" s="46"/>
      <c r="D30" s="46"/>
      <c r="E30" s="61"/>
      <c r="F30" s="63"/>
      <c r="G30" s="64"/>
      <c r="H30" s="65"/>
      <c r="I30" s="65"/>
      <c r="J30" s="65"/>
      <c r="K30" s="66"/>
      <c r="L30" s="64"/>
      <c r="M30" s="64"/>
      <c r="N30" s="67"/>
    </row>
    <row r="31" spans="1:14" ht="18.75" customHeight="1">
      <c r="A31" s="43" t="s">
        <v>105</v>
      </c>
      <c r="B31" s="46"/>
      <c r="C31" s="46"/>
      <c r="D31" s="46"/>
      <c r="E31" s="61"/>
      <c r="F31" s="68"/>
      <c r="G31" s="64">
        <f>(1.397845+28.520061+6.869446)*2.204622/60</f>
        <v>1.3517034256823999</v>
      </c>
      <c r="H31" s="65"/>
      <c r="I31" s="65"/>
      <c r="J31" s="65">
        <f>4.361207*2000/60</f>
        <v>145.37356666666668</v>
      </c>
      <c r="K31" s="69"/>
      <c r="L31" s="64">
        <f>(42.579358+4422.864)*2.204622/60</f>
        <v>164.07691111334458</v>
      </c>
      <c r="M31" s="64"/>
      <c r="N31" s="65"/>
    </row>
    <row r="32" spans="1:14" ht="18.75" customHeight="1">
      <c r="A32" s="46" t="s">
        <v>111</v>
      </c>
      <c r="B32" s="46"/>
      <c r="C32" s="46"/>
      <c r="D32" s="46"/>
      <c r="E32" s="61"/>
      <c r="F32" s="63"/>
      <c r="G32" s="64">
        <f>(4.792131+65.902561+6.64419)*2.204622/60</f>
        <v>2.8417166785434</v>
      </c>
      <c r="H32" s="65"/>
      <c r="I32" s="65"/>
      <c r="J32" s="65">
        <f>5.277397*2000/60</f>
        <v>175.91323333333332</v>
      </c>
      <c r="K32" s="66"/>
      <c r="L32" s="64">
        <f>(65.402074+9580.077)*2.204622/60</f>
        <v>354.4105894513338</v>
      </c>
      <c r="M32" s="63"/>
      <c r="N32" s="67"/>
    </row>
    <row r="33" spans="1:14" ht="18.75" customHeight="1">
      <c r="A33" s="46" t="s">
        <v>113</v>
      </c>
      <c r="B33" s="46"/>
      <c r="C33" s="46"/>
      <c r="D33" s="46"/>
      <c r="E33" s="61"/>
      <c r="F33" s="63"/>
      <c r="G33" s="64">
        <f>(14.834995+18.210518+5.828672)*2.204622/60</f>
        <v>1.4283813913845</v>
      </c>
      <c r="H33" s="65"/>
      <c r="I33" s="65"/>
      <c r="J33" s="65">
        <f>5.200462*2000/60</f>
        <v>173.3487333333333</v>
      </c>
      <c r="K33" s="66"/>
      <c r="L33" s="64">
        <f>(75.780013+9113.39)*2.204622/60</f>
        <v>337.6441062066681</v>
      </c>
      <c r="M33" s="63"/>
      <c r="N33" s="67"/>
    </row>
    <row r="34" spans="1:14" ht="18.75" customHeight="1">
      <c r="A34" s="46" t="s">
        <v>80</v>
      </c>
      <c r="B34" s="46"/>
      <c r="C34" s="46"/>
      <c r="D34" s="46"/>
      <c r="E34" s="61">
        <f>N27</f>
        <v>301.595</v>
      </c>
      <c r="F34" s="63">
        <f>4391.553</f>
        <v>4391.553</v>
      </c>
      <c r="G34" s="64">
        <f>G31+G32+G33</f>
        <v>5.6218014956103</v>
      </c>
      <c r="H34" s="65">
        <f>SUM(E34:G34)</f>
        <v>4698.76980149561</v>
      </c>
      <c r="I34" s="65"/>
      <c r="J34" s="65">
        <f>J31+J32+J33</f>
        <v>494.6355333333333</v>
      </c>
      <c r="K34" s="66">
        <f>M34-L34-J34</f>
        <v>187.32366139093057</v>
      </c>
      <c r="L34" s="64">
        <f>L31+L32+L33</f>
        <v>856.1316067713465</v>
      </c>
      <c r="M34" s="64">
        <f>H34-N34</f>
        <v>1538.0908014956103</v>
      </c>
      <c r="N34" s="65">
        <v>3160.679</v>
      </c>
    </row>
    <row r="35" spans="1:14" ht="18.75" customHeight="1">
      <c r="A35" s="43" t="s">
        <v>114</v>
      </c>
      <c r="B35" s="46"/>
      <c r="C35" s="46"/>
      <c r="D35" s="46"/>
      <c r="E35" s="61"/>
      <c r="F35" s="63"/>
      <c r="G35" s="64">
        <f>(2.700212+43.931585+16.786283)*2.204622/60</f>
        <v>2.3302149060960002</v>
      </c>
      <c r="H35" s="65"/>
      <c r="I35" s="65"/>
      <c r="J35" s="65">
        <f>5.290215*2000/60</f>
        <v>176.3405</v>
      </c>
      <c r="K35" s="66"/>
      <c r="L35" s="64">
        <f>(67.748059+6154.493)*2.204622/60</f>
        <v>228.6281587995783</v>
      </c>
      <c r="M35" s="64"/>
      <c r="N35" s="67"/>
    </row>
    <row r="36" spans="1:14" ht="18.75" customHeight="1">
      <c r="A36" s="43" t="s">
        <v>115</v>
      </c>
      <c r="B36" s="46"/>
      <c r="C36" s="46"/>
      <c r="D36" s="46"/>
      <c r="E36" s="61"/>
      <c r="F36" s="63"/>
      <c r="G36" s="64">
        <f>(1.972522+31.466905+6.367872)*2.204622/60</f>
        <v>1.4626674522663</v>
      </c>
      <c r="H36" s="65"/>
      <c r="I36" s="65"/>
      <c r="J36" s="65">
        <f>5.239827*2000/60</f>
        <v>174.6609</v>
      </c>
      <c r="K36" s="64"/>
      <c r="L36" s="64">
        <f>(51.851798+5711.005)*2.204622/60</f>
        <v>211.7486813286726</v>
      </c>
      <c r="M36" s="63"/>
      <c r="N36" s="67"/>
    </row>
    <row r="37" spans="1:14" ht="18.75" customHeight="1">
      <c r="A37" s="43" t="s">
        <v>116</v>
      </c>
      <c r="B37" s="46"/>
      <c r="C37" s="46"/>
      <c r="D37" s="46"/>
      <c r="E37" s="61"/>
      <c r="F37" s="63"/>
      <c r="G37" s="64">
        <f>(2.319904+15.767762+14.02578)*2.204622/60</f>
        <v>1.1799668257901998</v>
      </c>
      <c r="H37" s="65"/>
      <c r="I37" s="65"/>
      <c r="J37" s="65">
        <f>4.948772*2000/60</f>
        <v>164.95906666666667</v>
      </c>
      <c r="K37" s="64"/>
      <c r="L37" s="64">
        <f>(68.682966+4144.142)*2.204622/60</f>
        <v>154.7947767032142</v>
      </c>
      <c r="M37" s="63"/>
      <c r="N37" s="67"/>
    </row>
    <row r="38" spans="1:14" ht="18.75" customHeight="1">
      <c r="A38" s="43" t="s">
        <v>81</v>
      </c>
      <c r="B38" s="46"/>
      <c r="C38" s="46"/>
      <c r="D38" s="46"/>
      <c r="E38" s="61">
        <f>N34</f>
        <v>3160.679</v>
      </c>
      <c r="F38" s="68"/>
      <c r="G38" s="64">
        <f>SUM(G35:G37)</f>
        <v>4.9728491841525</v>
      </c>
      <c r="H38" s="65">
        <f>E38+F38+G38</f>
        <v>3165.6518491841525</v>
      </c>
      <c r="I38" s="65"/>
      <c r="J38" s="65">
        <f>SUM(J35:J37)</f>
        <v>515.9604666666667</v>
      </c>
      <c r="K38" s="69">
        <f>M38-L38-J38</f>
        <v>-54.783234313979165</v>
      </c>
      <c r="L38" s="64">
        <f>SUM(L35:L37)</f>
        <v>595.1716168314651</v>
      </c>
      <c r="M38" s="64">
        <f>H38-N38</f>
        <v>1056.3488491841526</v>
      </c>
      <c r="N38" s="65">
        <v>2109.303</v>
      </c>
    </row>
    <row r="39" spans="1:14" ht="18.75" customHeight="1">
      <c r="A39" s="43" t="s">
        <v>117</v>
      </c>
      <c r="B39" s="46"/>
      <c r="C39" s="46"/>
      <c r="D39" s="46"/>
      <c r="E39" s="61"/>
      <c r="F39" s="68"/>
      <c r="G39" s="64">
        <f>(15.718589+36.223498+6.168282)*2.204622/60</f>
        <v>2.1351899654252997</v>
      </c>
      <c r="H39" s="65"/>
      <c r="I39" s="65"/>
      <c r="J39" s="65">
        <f>5.46524*2000/60</f>
        <v>182.17466666666667</v>
      </c>
      <c r="K39" s="69"/>
      <c r="L39" s="64">
        <f>(72.280867+3166.287)*2.204622/60</f>
        <v>118.9969661346879</v>
      </c>
      <c r="M39" s="64"/>
      <c r="N39" s="65"/>
    </row>
    <row r="40" spans="1:14" ht="18.75" customHeight="1">
      <c r="A40" s="43" t="s">
        <v>118</v>
      </c>
      <c r="B40" s="46"/>
      <c r="C40" s="46"/>
      <c r="D40" s="46"/>
      <c r="E40" s="61"/>
      <c r="F40" s="68"/>
      <c r="G40" s="64">
        <f>(9.603402+38.602173+17.683985)*2.204622/60</f>
        <v>2.4210262257720006</v>
      </c>
      <c r="H40" s="65"/>
      <c r="I40" s="65"/>
      <c r="J40" s="65">
        <f>5.149147*2000/60</f>
        <v>171.63823333333332</v>
      </c>
      <c r="K40" s="69"/>
      <c r="L40" s="64">
        <f>(56.404038+2110.962)*2.204622/60</f>
        <v>79.6370474904606</v>
      </c>
      <c r="M40" s="64"/>
      <c r="N40" s="65"/>
    </row>
    <row r="41" spans="1:14" ht="18.75" customHeight="1">
      <c r="A41" s="43" t="s">
        <v>119</v>
      </c>
      <c r="B41" s="46"/>
      <c r="C41" s="46"/>
      <c r="D41" s="46"/>
      <c r="E41" s="61"/>
      <c r="F41" s="68"/>
      <c r="G41" s="64">
        <f>(14.93331+18.49162+17.072273)*2.204622/60</f>
        <v>1.8554540778711002</v>
      </c>
      <c r="H41" s="65"/>
      <c r="I41" s="65"/>
      <c r="J41" s="65">
        <f>5.17404*2000/60</f>
        <v>172.468</v>
      </c>
      <c r="K41" s="69"/>
      <c r="L41" s="64">
        <f>(50.72778+2940.067)*2.204622/60</f>
        <v>109.892866157886</v>
      </c>
      <c r="M41" s="64"/>
      <c r="N41" s="65"/>
    </row>
    <row r="42" spans="1:15" ht="18.75" customHeight="1">
      <c r="A42" s="43" t="s">
        <v>82</v>
      </c>
      <c r="B42" s="46"/>
      <c r="C42" s="46"/>
      <c r="D42" s="46"/>
      <c r="E42" s="61">
        <f>N38</f>
        <v>2109.303</v>
      </c>
      <c r="F42" s="68"/>
      <c r="G42" s="64">
        <f>SUM(G39:G41)</f>
        <v>6.4116702690684</v>
      </c>
      <c r="H42" s="65">
        <f>E42+F42+G42</f>
        <v>2115.7146702690684</v>
      </c>
      <c r="I42" s="65"/>
      <c r="J42" s="65">
        <f>SUM(J39:J41)</f>
        <v>526.2809</v>
      </c>
      <c r="K42" s="69">
        <f>M42-L42-J42</f>
        <v>59.40589048603397</v>
      </c>
      <c r="L42" s="64">
        <f>SUM(L39:L41)</f>
        <v>308.5268797830345</v>
      </c>
      <c r="M42" s="64">
        <f>H42-N42</f>
        <v>894.2136702690684</v>
      </c>
      <c r="N42" s="65">
        <v>1221.501</v>
      </c>
      <c r="O42" s="40"/>
    </row>
    <row r="43" spans="1:14" ht="14.25">
      <c r="A43" s="42" t="s">
        <v>122</v>
      </c>
      <c r="B43" s="42"/>
      <c r="C43" s="42"/>
      <c r="D43" s="42"/>
      <c r="E43" s="71"/>
      <c r="F43" s="72">
        <f>F34+F38</f>
        <v>4391.553</v>
      </c>
      <c r="G43" s="73">
        <f>G34+G38+G42</f>
        <v>17.006320948831203</v>
      </c>
      <c r="H43" s="74">
        <f>E34+F43+G43</f>
        <v>4710.154320948831</v>
      </c>
      <c r="I43" s="74"/>
      <c r="J43" s="74">
        <f>J34+J38+J42</f>
        <v>1536.8769</v>
      </c>
      <c r="K43" s="75">
        <f>K34+K38+K42</f>
        <v>191.94631756298537</v>
      </c>
      <c r="L43" s="73">
        <f>L34+L38+L42</f>
        <v>1759.830103385846</v>
      </c>
      <c r="M43" s="73">
        <f>M34+M38+M42</f>
        <v>3488.6533209488316</v>
      </c>
      <c r="N43" s="76"/>
    </row>
    <row r="44" spans="1:14" ht="16.5">
      <c r="A44" s="77" t="s">
        <v>131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78"/>
      <c r="M44" s="46"/>
      <c r="N44" s="46"/>
    </row>
    <row r="45" spans="1:14" ht="14.25">
      <c r="A45" s="43" t="s">
        <v>132</v>
      </c>
      <c r="B45" s="43"/>
      <c r="C45" s="43"/>
      <c r="D45" s="43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73" ht="14.25">
      <c r="A46" s="80" t="s">
        <v>78</v>
      </c>
      <c r="B46" s="43"/>
      <c r="C46" s="43"/>
      <c r="D46" s="43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14.25">
      <c r="A47" s="43" t="s">
        <v>26</v>
      </c>
      <c r="B47" s="81">
        <f ca="1">NOW()</f>
        <v>43297.368709490744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6:73" ht="12.75">
      <c r="F51" s="15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  <row r="542" spans="15:73" ht="12.75"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</row>
    <row r="543" spans="15:73" ht="12.75"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</row>
    <row r="544" spans="15:73" ht="12.75"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3"/>
    </row>
    <row r="3" spans="1:10" ht="14.25">
      <c r="A3" s="43" t="s">
        <v>84</v>
      </c>
      <c r="B3" s="45" t="s">
        <v>8</v>
      </c>
      <c r="C3" s="47"/>
      <c r="D3" s="47"/>
      <c r="E3" s="47"/>
      <c r="F3" s="47"/>
      <c r="G3" s="47"/>
      <c r="H3" s="47"/>
      <c r="I3" s="47"/>
      <c r="J3" s="45" t="s">
        <v>34</v>
      </c>
    </row>
    <row r="4" spans="1:10" ht="14.25">
      <c r="A4" s="48" t="s">
        <v>85</v>
      </c>
      <c r="B4" s="50" t="s">
        <v>33</v>
      </c>
      <c r="C4" s="50" t="s">
        <v>1</v>
      </c>
      <c r="D4" s="50" t="s">
        <v>2</v>
      </c>
      <c r="E4" s="52" t="s">
        <v>32</v>
      </c>
      <c r="F4" s="51"/>
      <c r="G4" s="50" t="s">
        <v>35</v>
      </c>
      <c r="H4" s="50" t="s">
        <v>31</v>
      </c>
      <c r="I4" s="50" t="s">
        <v>32</v>
      </c>
      <c r="J4" s="50" t="s">
        <v>97</v>
      </c>
    </row>
    <row r="5" spans="1:10" ht="14.25">
      <c r="A5" s="43"/>
      <c r="B5" s="149" t="s">
        <v>106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43" t="s">
        <v>129</v>
      </c>
      <c r="B6" s="82">
        <v>263.886</v>
      </c>
      <c r="C6" s="83">
        <f>C23</f>
        <v>44787.017</v>
      </c>
      <c r="D6" s="83">
        <f>D23</f>
        <v>349.553099354697</v>
      </c>
      <c r="E6" s="83">
        <f>+B6+C6+D6</f>
        <v>45400.4560993547</v>
      </c>
      <c r="F6" s="83"/>
      <c r="G6" s="83">
        <f>+I6-H6</f>
        <v>33419.538222414194</v>
      </c>
      <c r="H6" s="83">
        <f>H23</f>
        <v>11580.28787694051</v>
      </c>
      <c r="I6" s="83">
        <f>+E6-J6</f>
        <v>44999.8260993547</v>
      </c>
      <c r="J6" s="83">
        <f>J22</f>
        <v>400.63</v>
      </c>
    </row>
    <row r="7" spans="1:10" ht="16.5">
      <c r="A7" s="43" t="s">
        <v>130</v>
      </c>
      <c r="B7" s="82">
        <f>J6</f>
        <v>400.63</v>
      </c>
      <c r="C7" s="83">
        <v>48299</v>
      </c>
      <c r="D7" s="83">
        <v>500</v>
      </c>
      <c r="E7" s="83">
        <f>+B7+C7+D7</f>
        <v>49199.63</v>
      </c>
      <c r="F7" s="83"/>
      <c r="G7" s="83">
        <f>+I7-H7</f>
        <v>35299.63</v>
      </c>
      <c r="H7" s="83">
        <v>13500</v>
      </c>
      <c r="I7" s="83">
        <f>+E7-J7</f>
        <v>48799.63</v>
      </c>
      <c r="J7" s="83">
        <v>400</v>
      </c>
    </row>
    <row r="8" spans="1:10" ht="16.5">
      <c r="A8" s="43" t="s">
        <v>172</v>
      </c>
      <c r="B8" s="82">
        <f>J7</f>
        <v>400</v>
      </c>
      <c r="C8" s="83">
        <v>48450</v>
      </c>
      <c r="D8" s="83">
        <v>350</v>
      </c>
      <c r="E8" s="83">
        <f>+B8+C8+D8</f>
        <v>49200</v>
      </c>
      <c r="F8" s="83"/>
      <c r="G8" s="83">
        <f>+I8-H8</f>
        <v>35700</v>
      </c>
      <c r="H8" s="83">
        <v>13100</v>
      </c>
      <c r="I8" s="83">
        <f>+E8-J8</f>
        <v>48800</v>
      </c>
      <c r="J8" s="83">
        <v>400</v>
      </c>
    </row>
    <row r="9" spans="1:10" ht="14.25">
      <c r="A9" s="43"/>
      <c r="B9" s="84"/>
      <c r="C9" s="84"/>
      <c r="D9" s="84"/>
      <c r="E9" s="84"/>
      <c r="F9" s="84"/>
      <c r="G9" s="84"/>
      <c r="H9" s="84"/>
      <c r="I9" s="84"/>
      <c r="J9" s="84"/>
    </row>
    <row r="10" spans="1:10" ht="14.25">
      <c r="A10" s="43" t="s">
        <v>120</v>
      </c>
      <c r="B10" s="84"/>
      <c r="C10" s="64"/>
      <c r="D10" s="64"/>
      <c r="E10" s="64"/>
      <c r="F10" s="85"/>
      <c r="G10" s="64"/>
      <c r="H10" s="64"/>
      <c r="I10" s="64"/>
      <c r="J10" s="85"/>
    </row>
    <row r="11" spans="1:12" ht="15.75">
      <c r="A11" s="46" t="s">
        <v>58</v>
      </c>
      <c r="B11" s="86">
        <f>233.715+30.171</f>
        <v>263.886</v>
      </c>
      <c r="C11" s="64">
        <f>3830.125+273.917</f>
        <v>4104.042</v>
      </c>
      <c r="D11" s="64">
        <f>(20102.004+3304+507.805)*2.204622/2000</f>
        <v>26.360454712599005</v>
      </c>
      <c r="E11" s="64">
        <f aca="true" t="shared" si="0" ref="E11:E22">SUM(B11:D11)</f>
        <v>4394.2884547126</v>
      </c>
      <c r="F11" s="85"/>
      <c r="G11" s="87">
        <f aca="true" t="shared" si="1" ref="G11:G22">I11-H11</f>
        <v>3084.1154310607744</v>
      </c>
      <c r="H11" s="64">
        <f>((693.141819+2.805+150.046756))*(2.204622/2)</f>
        <v>932.548023651825</v>
      </c>
      <c r="I11" s="85">
        <f aca="true" t="shared" si="2" ref="I11:I17">E11-J11</f>
        <v>4016.6634547125996</v>
      </c>
      <c r="J11" s="64">
        <f>335.413+42.212</f>
        <v>377.625</v>
      </c>
      <c r="K11" s="24"/>
      <c r="L11" s="24"/>
    </row>
    <row r="12" spans="1:12" ht="15.75">
      <c r="A12" s="46" t="s">
        <v>59</v>
      </c>
      <c r="B12" s="86">
        <f aca="true" t="shared" si="3" ref="B12:B17">J11</f>
        <v>377.625</v>
      </c>
      <c r="C12" s="64">
        <f>3739.093+273.414</f>
        <v>4012.5069999999996</v>
      </c>
      <c r="D12" s="64">
        <f>(21497.379+3901+124.943)*2.204622/2000</f>
        <v>28.134638597142</v>
      </c>
      <c r="E12" s="64">
        <f t="shared" si="0"/>
        <v>4418.2666385971415</v>
      </c>
      <c r="F12" s="85"/>
      <c r="G12" s="87">
        <f t="shared" si="1"/>
        <v>2997.7193717545806</v>
      </c>
      <c r="H12" s="64">
        <f>((667.273621+3.395+247.86913))*(2.204622/2)</f>
        <v>1012.5142668425611</v>
      </c>
      <c r="I12" s="85">
        <f t="shared" si="2"/>
        <v>4010.2336385971416</v>
      </c>
      <c r="J12" s="64">
        <f>361.959+46.074</f>
        <v>408.033</v>
      </c>
      <c r="K12" s="24"/>
      <c r="L12" s="24"/>
    </row>
    <row r="13" spans="1:12" ht="15.75">
      <c r="A13" s="46" t="s">
        <v>60</v>
      </c>
      <c r="B13" s="86">
        <f t="shared" si="3"/>
        <v>408.033</v>
      </c>
      <c r="C13" s="64">
        <f>3690.668+273.479</f>
        <v>3964.147</v>
      </c>
      <c r="D13" s="64">
        <f>(19456.672+4259+130.318)*2.204622/2000</f>
        <v>26.285697082889996</v>
      </c>
      <c r="E13" s="64">
        <f t="shared" si="0"/>
        <v>4398.46569708289</v>
      </c>
      <c r="F13" s="85"/>
      <c r="G13" s="87">
        <f t="shared" si="1"/>
        <v>3012.441896297328</v>
      </c>
      <c r="H13" s="64">
        <f>((650.52779+2.548+199.327752))*(2.204622/2)</f>
        <v>939.613800785562</v>
      </c>
      <c r="I13" s="85">
        <f t="shared" si="2"/>
        <v>3952.05569708289</v>
      </c>
      <c r="J13" s="64">
        <f>403.901+42.509</f>
        <v>446.41</v>
      </c>
      <c r="K13" s="24"/>
      <c r="L13" s="24"/>
    </row>
    <row r="14" spans="1:12" ht="15.75">
      <c r="A14" s="46" t="s">
        <v>61</v>
      </c>
      <c r="B14" s="86">
        <f t="shared" si="3"/>
        <v>446.41</v>
      </c>
      <c r="C14" s="64">
        <f>3763.462+261.739</f>
        <v>4025.201</v>
      </c>
      <c r="D14" s="64">
        <f>(28030.503+4355+726.884)*2.204622/2000</f>
        <v>36.500148426357</v>
      </c>
      <c r="E14" s="64">
        <f t="shared" si="0"/>
        <v>4508.1111484263565</v>
      </c>
      <c r="F14" s="85"/>
      <c r="G14" s="87">
        <f t="shared" si="1"/>
        <v>2765.670487608063</v>
      </c>
      <c r="H14" s="64">
        <f>((955.274566+3.027+227.904197))*(2.204622/2)</f>
        <v>1307.5676608182932</v>
      </c>
      <c r="I14" s="85">
        <f t="shared" si="2"/>
        <v>4073.2381484263565</v>
      </c>
      <c r="J14" s="64">
        <f>394.425+40.448</f>
        <v>434.873</v>
      </c>
      <c r="K14" s="24"/>
      <c r="L14" s="24"/>
    </row>
    <row r="15" spans="1:12" ht="15.75">
      <c r="A15" s="46" t="s">
        <v>62</v>
      </c>
      <c r="B15" s="86">
        <f t="shared" si="3"/>
        <v>434.873</v>
      </c>
      <c r="C15" s="64">
        <f>3331.018+228.174</f>
        <v>3559.192</v>
      </c>
      <c r="D15" s="64">
        <f>(28166.336+3893+387.116)*2.204622/2000</f>
        <v>35.766080950572</v>
      </c>
      <c r="E15" s="64">
        <f t="shared" si="0"/>
        <v>4029.831080950572</v>
      </c>
      <c r="F15" s="85"/>
      <c r="G15" s="87">
        <f t="shared" si="1"/>
        <v>2570.499354171158</v>
      </c>
      <c r="H15" s="64">
        <f>((811.830698+11.508+133.305776))*(2.204622/2)</f>
        <v>1054.5197267794142</v>
      </c>
      <c r="I15" s="85">
        <f t="shared" si="2"/>
        <v>3625.019080950572</v>
      </c>
      <c r="J15" s="64">
        <f>372.404+32.408</f>
        <v>404.812</v>
      </c>
      <c r="K15" s="24"/>
      <c r="L15" s="24"/>
    </row>
    <row r="16" spans="1:12" ht="15.75">
      <c r="A16" s="46" t="s">
        <v>63</v>
      </c>
      <c r="B16" s="86">
        <f t="shared" si="3"/>
        <v>404.812</v>
      </c>
      <c r="C16" s="64">
        <f>3528.733+244.932</f>
        <v>3773.665</v>
      </c>
      <c r="D16" s="64">
        <f>(19135.634+3912+533.996)*2.204622/2000</f>
        <v>25.99429014693</v>
      </c>
      <c r="E16" s="64">
        <f t="shared" si="0"/>
        <v>4204.47129014693</v>
      </c>
      <c r="F16" s="85"/>
      <c r="G16" s="87">
        <f t="shared" si="1"/>
        <v>2406.9584856453544</v>
      </c>
      <c r="H16" s="64">
        <f>((1022.929375+3.391+282.778241))*(2.204622/2)</f>
        <v>1443.033804501576</v>
      </c>
      <c r="I16" s="85">
        <f t="shared" si="2"/>
        <v>3849.9922901469304</v>
      </c>
      <c r="J16" s="64">
        <f>318.123+36.356</f>
        <v>354.479</v>
      </c>
      <c r="K16" s="24"/>
      <c r="L16" s="24"/>
    </row>
    <row r="17" spans="1:12" ht="15.75">
      <c r="A17" s="46" t="s">
        <v>64</v>
      </c>
      <c r="B17" s="86">
        <f t="shared" si="3"/>
        <v>354.479</v>
      </c>
      <c r="C17" s="64">
        <f>3300.745+222.754</f>
        <v>3523.499</v>
      </c>
      <c r="D17" s="64">
        <f>(22512.339+3430+234.788)*2.204622/2000</f>
        <v>28.855335040497</v>
      </c>
      <c r="E17" s="64">
        <f t="shared" si="0"/>
        <v>3906.8333350404964</v>
      </c>
      <c r="F17" s="85"/>
      <c r="G17" s="87">
        <f t="shared" si="1"/>
        <v>2566.7881570520294</v>
      </c>
      <c r="H17" s="64">
        <f>((647.334618+15.782+162.344779))*(2.204622/2)</f>
        <v>909.9151779884671</v>
      </c>
      <c r="I17" s="85">
        <f t="shared" si="2"/>
        <v>3476.7033350404963</v>
      </c>
      <c r="J17" s="64">
        <f>387.207+42.923</f>
        <v>430.13</v>
      </c>
      <c r="K17" s="24"/>
      <c r="L17" s="24"/>
    </row>
    <row r="18" spans="1:12" ht="15.75">
      <c r="A18" s="46" t="s">
        <v>65</v>
      </c>
      <c r="B18" s="86">
        <f>J17</f>
        <v>430.13</v>
      </c>
      <c r="C18" s="64">
        <f>3491.318+240.712</f>
        <v>3732.03</v>
      </c>
      <c r="D18" s="64">
        <f>(27160.809+4201+551.493)*2.204622/2000</f>
        <v>35.178383840922</v>
      </c>
      <c r="E18" s="64">
        <f t="shared" si="0"/>
        <v>4197.338383840922</v>
      </c>
      <c r="F18" s="85"/>
      <c r="G18" s="87">
        <f t="shared" si="1"/>
        <v>2971.0832916556215</v>
      </c>
      <c r="H18" s="64">
        <f>((586.200742+7.811+130.160558))*(2.204622/2)</f>
        <v>798.2630921853001</v>
      </c>
      <c r="I18" s="85">
        <f>E18-J18</f>
        <v>3769.3463838409216</v>
      </c>
      <c r="J18" s="64">
        <f>375.156+52.836</f>
        <v>427.992</v>
      </c>
      <c r="K18" s="24"/>
      <c r="L18" s="24"/>
    </row>
    <row r="19" spans="1:12" ht="15.75">
      <c r="A19" s="46" t="s">
        <v>66</v>
      </c>
      <c r="B19" s="86">
        <f>J18</f>
        <v>427.992</v>
      </c>
      <c r="C19" s="64">
        <f>3268.397+221.13</f>
        <v>3489.527</v>
      </c>
      <c r="D19" s="64">
        <f>(23907.767+3681+352.707)*2.204622/2000</f>
        <v>30.800194146414</v>
      </c>
      <c r="E19" s="64">
        <f t="shared" si="0"/>
        <v>3948.3191941464142</v>
      </c>
      <c r="F19" s="85"/>
      <c r="G19" s="87">
        <f t="shared" si="1"/>
        <v>2747.311134063634</v>
      </c>
      <c r="H19" s="64">
        <f>((612.180231+14.035+145.823749))*(2.204622/2)</f>
        <v>851.02706008278</v>
      </c>
      <c r="I19" s="85">
        <f>E19-J19</f>
        <v>3598.338194146414</v>
      </c>
      <c r="J19" s="64">
        <f>314.965+35.016</f>
        <v>349.981</v>
      </c>
      <c r="K19" s="24"/>
      <c r="L19" s="24"/>
    </row>
    <row r="20" spans="1:12" ht="15.75">
      <c r="A20" s="46" t="s">
        <v>68</v>
      </c>
      <c r="B20" s="86">
        <f>J19</f>
        <v>349.981</v>
      </c>
      <c r="C20" s="64">
        <f>3400.652+237.432</f>
        <v>3638.084</v>
      </c>
      <c r="D20" s="64">
        <f>(13681.79+2447+200.791+27.504)*2.204622/2000</f>
        <v>18.030594723435</v>
      </c>
      <c r="E20" s="64">
        <f t="shared" si="0"/>
        <v>4006.0955947234347</v>
      </c>
      <c r="F20" s="85"/>
      <c r="G20" s="87">
        <f t="shared" si="1"/>
        <v>2809.4328881144875</v>
      </c>
      <c r="H20" s="64">
        <f>((590.3906+5.875+104.955477))*(2.204622/2)</f>
        <v>772.963706608947</v>
      </c>
      <c r="I20" s="85">
        <f>E20-J20</f>
        <v>3582.3965947234346</v>
      </c>
      <c r="J20" s="64">
        <f>385.868+37.831</f>
        <v>423.699</v>
      </c>
      <c r="K20" s="24"/>
      <c r="L20" s="24"/>
    </row>
    <row r="21" spans="1:12" ht="15.75">
      <c r="A21" s="46" t="s">
        <v>69</v>
      </c>
      <c r="B21" s="86">
        <f>J20</f>
        <v>423.699</v>
      </c>
      <c r="C21" s="64">
        <f>3319.155+237.324</f>
        <v>3556.4790000000003</v>
      </c>
      <c r="D21" s="64">
        <f>(22330.612+3449+117.308+1855.441)*2.204622/2000</f>
        <v>30.591732806271</v>
      </c>
      <c r="E21" s="64">
        <f t="shared" si="0"/>
        <v>4010.7697328062713</v>
      </c>
      <c r="F21" s="85"/>
      <c r="G21" s="87">
        <f t="shared" si="1"/>
        <v>2811.309229831117</v>
      </c>
      <c r="H21" s="64">
        <f>((664.517336+4.113+123.324478))*(2.204622/2)</f>
        <v>872.9805029751541</v>
      </c>
      <c r="I21" s="85">
        <f>E21-J21</f>
        <v>3684.2897328062713</v>
      </c>
      <c r="J21" s="64">
        <f>290.921+35.559</f>
        <v>326.48</v>
      </c>
      <c r="K21" s="24"/>
      <c r="L21" s="24"/>
    </row>
    <row r="22" spans="1:12" ht="15.75">
      <c r="A22" s="46" t="s">
        <v>71</v>
      </c>
      <c r="B22" s="86">
        <f>J21</f>
        <v>326.48</v>
      </c>
      <c r="C22" s="64">
        <f>3188.771+219.873</f>
        <v>3408.6440000000002</v>
      </c>
      <c r="D22" s="64">
        <f>(20397.093+4027+105.104+15.191)*2.204622/2000</f>
        <v>27.055548880668</v>
      </c>
      <c r="E22" s="64">
        <f t="shared" si="0"/>
        <v>3762.1795488806683</v>
      </c>
      <c r="F22" s="85"/>
      <c r="G22" s="87">
        <f t="shared" si="1"/>
        <v>2676.2084951600373</v>
      </c>
      <c r="H22" s="64">
        <f>((490.716665+4.872+126.142456))*(2.204622/2)</f>
        <v>685.3410537206311</v>
      </c>
      <c r="I22" s="85">
        <f>E22-J22</f>
        <v>3361.549548880668</v>
      </c>
      <c r="J22" s="64">
        <f>353.758+46.872</f>
        <v>400.63</v>
      </c>
      <c r="K22" s="24"/>
      <c r="L22" s="24"/>
    </row>
    <row r="23" spans="1:12" ht="15.75">
      <c r="A23" s="46" t="s">
        <v>38</v>
      </c>
      <c r="B23" s="86"/>
      <c r="C23" s="64">
        <f>SUM(C11:C22)</f>
        <v>44787.017</v>
      </c>
      <c r="D23" s="64">
        <f>SUM(D11:D22)</f>
        <v>349.553099354697</v>
      </c>
      <c r="E23" s="64">
        <f>B11+C23+D23</f>
        <v>45400.4560993547</v>
      </c>
      <c r="F23" s="85"/>
      <c r="G23" s="87">
        <f>SUM(G11:G22)</f>
        <v>33419.53822241418</v>
      </c>
      <c r="H23" s="64">
        <f>SUM(H11:H22)</f>
        <v>11580.28787694051</v>
      </c>
      <c r="I23" s="85">
        <f>SUM(I11:I22)</f>
        <v>44999.826099354694</v>
      </c>
      <c r="J23" s="64"/>
      <c r="K23" s="24"/>
      <c r="L23" s="24"/>
    </row>
    <row r="24" spans="1:12" ht="15.75">
      <c r="A24" s="46"/>
      <c r="B24" s="86"/>
      <c r="C24" s="64"/>
      <c r="D24" s="64"/>
      <c r="E24" s="64"/>
      <c r="F24" s="85"/>
      <c r="G24" s="87"/>
      <c r="H24" s="64"/>
      <c r="I24" s="85"/>
      <c r="J24" s="64"/>
      <c r="K24" s="24"/>
      <c r="L24" s="24"/>
    </row>
    <row r="25" spans="1:10" ht="14.25">
      <c r="A25" s="43" t="s">
        <v>123</v>
      </c>
      <c r="B25" s="84"/>
      <c r="C25" s="64"/>
      <c r="D25" s="64"/>
      <c r="E25" s="64"/>
      <c r="F25" s="85"/>
      <c r="G25" s="64"/>
      <c r="H25" s="64"/>
      <c r="I25" s="64"/>
      <c r="J25" s="85"/>
    </row>
    <row r="26" spans="1:12" ht="15.75">
      <c r="A26" s="46" t="s">
        <v>58</v>
      </c>
      <c r="B26" s="86">
        <f>J22</f>
        <v>400.63</v>
      </c>
      <c r="C26" s="64">
        <f>3847.77+276.055</f>
        <v>4123.825</v>
      </c>
      <c r="D26" s="64">
        <f>(22847.236+3613+112.237+227.84)*2.204622/2000</f>
        <v>29.542279823343005</v>
      </c>
      <c r="E26" s="64">
        <f aca="true" t="shared" si="4" ref="E26:E31">SUM(B26:D26)</f>
        <v>4553.997279823343</v>
      </c>
      <c r="F26" s="85"/>
      <c r="G26" s="87">
        <f aca="true" t="shared" si="5" ref="G26:G31">I26-H26</f>
        <v>3378.7416613199302</v>
      </c>
      <c r="H26" s="64">
        <f>((600.174309+9.196+100.005374))*(2.204622/2)</f>
        <v>781.952618503413</v>
      </c>
      <c r="I26" s="85">
        <f aca="true" t="shared" si="6" ref="I26:I32">E26-J26</f>
        <v>4160.694279823343</v>
      </c>
      <c r="J26" s="64">
        <f>350.935+42.368</f>
        <v>393.303</v>
      </c>
      <c r="K26" s="24"/>
      <c r="L26" s="24"/>
    </row>
    <row r="27" spans="1:12" ht="15.75">
      <c r="A27" s="46" t="s">
        <v>59</v>
      </c>
      <c r="B27" s="86">
        <f aca="true" t="shared" si="7" ref="B27:B33">J26</f>
        <v>393.303</v>
      </c>
      <c r="C27" s="64">
        <f>3829.14+272.552</f>
        <v>4101.692</v>
      </c>
      <c r="D27" s="64">
        <f>(24089.253+6879+138.856+88.687)*2.204622/2000</f>
        <v>34.387469084556</v>
      </c>
      <c r="E27" s="64">
        <f t="shared" si="4"/>
        <v>4529.382469084556</v>
      </c>
      <c r="F27" s="85"/>
      <c r="G27" s="87">
        <f t="shared" si="5"/>
        <v>3025.7385579029396</v>
      </c>
      <c r="H27" s="64">
        <f>((805.972095+9.59+195.528161))*(2.204622/2)</f>
        <v>1114.535911181616</v>
      </c>
      <c r="I27" s="85">
        <f t="shared" si="6"/>
        <v>4140.274469084556</v>
      </c>
      <c r="J27" s="64">
        <f>354.998+34.11</f>
        <v>389.108</v>
      </c>
      <c r="K27" s="24"/>
      <c r="L27" s="24"/>
    </row>
    <row r="28" spans="1:12" ht="15.75">
      <c r="A28" s="46" t="s">
        <v>60</v>
      </c>
      <c r="B28" s="86">
        <f t="shared" si="7"/>
        <v>389.108</v>
      </c>
      <c r="C28" s="64">
        <f>3904.161+268.856</f>
        <v>4173.017</v>
      </c>
      <c r="D28" s="64">
        <f>(24389.331+4562+327.365+22.939)*2.204622/2000</f>
        <v>32.299514578485</v>
      </c>
      <c r="E28" s="64">
        <f t="shared" si="4"/>
        <v>4594.424514578485</v>
      </c>
      <c r="F28" s="85"/>
      <c r="G28" s="87">
        <f t="shared" si="5"/>
        <v>2850.624674345999</v>
      </c>
      <c r="H28" s="64">
        <f>((830.201079+4.499+243.868347))*(2.204622/2)</f>
        <v>1188.917840232486</v>
      </c>
      <c r="I28" s="85">
        <f t="shared" si="6"/>
        <v>4039.542514578485</v>
      </c>
      <c r="J28" s="64">
        <f>506.203+48.679</f>
        <v>554.882</v>
      </c>
      <c r="K28" s="24"/>
      <c r="L28" s="24"/>
    </row>
    <row r="29" spans="1:12" ht="15.75">
      <c r="A29" s="46" t="s">
        <v>61</v>
      </c>
      <c r="B29" s="86">
        <f t="shared" si="7"/>
        <v>554.882</v>
      </c>
      <c r="C29" s="64">
        <f>3859.849+268.466</f>
        <v>4128.3150000000005</v>
      </c>
      <c r="D29" s="64">
        <f>(36971.805+5379+529.766+155.003)*2.204622/2000</f>
        <v>47.438586611514005</v>
      </c>
      <c r="E29" s="64">
        <f t="shared" si="4"/>
        <v>4730.635586611515</v>
      </c>
      <c r="F29" s="85"/>
      <c r="G29" s="87">
        <f t="shared" si="5"/>
        <v>3137.9027527343933</v>
      </c>
      <c r="H29" s="64">
        <f>((963.675889+8.332+100.939613))*(2.204622/2)</f>
        <v>1182.721833877122</v>
      </c>
      <c r="I29" s="85">
        <f t="shared" si="6"/>
        <v>4320.624586611515</v>
      </c>
      <c r="J29" s="64">
        <f>379.359+30.652</f>
        <v>410.01099999999997</v>
      </c>
      <c r="K29" s="24"/>
      <c r="L29" s="24"/>
    </row>
    <row r="30" spans="1:12" ht="15.75">
      <c r="A30" s="46" t="s">
        <v>62</v>
      </c>
      <c r="B30" s="86">
        <f t="shared" si="7"/>
        <v>410.01099999999997</v>
      </c>
      <c r="C30" s="64">
        <f>3651.786+247.786</f>
        <v>3899.572</v>
      </c>
      <c r="D30" s="64">
        <f>(38660.509+4701+268.165+52.191)*2.204622/2000</f>
        <v>48.151000290015</v>
      </c>
      <c r="E30" s="64">
        <f t="shared" si="4"/>
        <v>4357.7340002900155</v>
      </c>
      <c r="F30" s="85"/>
      <c r="G30" s="87">
        <f t="shared" si="5"/>
        <v>2658.6559813247736</v>
      </c>
      <c r="H30" s="64">
        <f>((928.305283+11.173+188.412139))*(2.204622/2)</f>
        <v>1243.286018965242</v>
      </c>
      <c r="I30" s="85">
        <f t="shared" si="6"/>
        <v>3901.9420002900156</v>
      </c>
      <c r="J30" s="64">
        <f>415.077+40.715</f>
        <v>455.79200000000003</v>
      </c>
      <c r="K30" s="24"/>
      <c r="L30" s="24"/>
    </row>
    <row r="31" spans="1:12" ht="15.75">
      <c r="A31" s="46" t="s">
        <v>63</v>
      </c>
      <c r="B31" s="86">
        <f t="shared" si="7"/>
        <v>455.79200000000003</v>
      </c>
      <c r="C31" s="64">
        <f>4029.272+277.277</f>
        <v>4306.549</v>
      </c>
      <c r="D31" s="64">
        <f>(44293.716+6632+552.284+45.659)*2.204622/2000</f>
        <v>56.795096075949004</v>
      </c>
      <c r="E31" s="64">
        <f t="shared" si="4"/>
        <v>4819.136096075949</v>
      </c>
      <c r="F31" s="85"/>
      <c r="G31" s="87">
        <f t="shared" si="5"/>
        <v>2860.0986151257603</v>
      </c>
      <c r="H31" s="64">
        <f>((1087.910534+8.669+186.947965))*(2.204622/2)</f>
        <v>1414.8464809501893</v>
      </c>
      <c r="I31" s="85">
        <f t="shared" si="6"/>
        <v>4274.94509607595</v>
      </c>
      <c r="J31" s="64">
        <f>492.224+51.967</f>
        <v>544.191</v>
      </c>
      <c r="K31" s="24"/>
      <c r="L31" s="24"/>
    </row>
    <row r="32" spans="1:12" ht="15.75">
      <c r="A32" s="46" t="s">
        <v>64</v>
      </c>
      <c r="B32" s="86">
        <f t="shared" si="7"/>
        <v>544.191</v>
      </c>
      <c r="C32" s="64">
        <f>3822.338+257.585</f>
        <v>4079.9230000000002</v>
      </c>
      <c r="D32" s="64">
        <f>(28045.93+7488+746.07+92.753)*2.204622/2000</f>
        <v>40.094085732183</v>
      </c>
      <c r="E32" s="64">
        <f>SUM(B32:D32)</f>
        <v>4664.2080857321835</v>
      </c>
      <c r="F32" s="85"/>
      <c r="G32" s="87">
        <f>I32-H32</f>
        <v>2883.671536103174</v>
      </c>
      <c r="H32" s="64">
        <f>((939.851833+12.285+252.977286))*(2.204622/2)</f>
        <v>1328.4105496290092</v>
      </c>
      <c r="I32" s="85">
        <f t="shared" si="6"/>
        <v>4212.082085732183</v>
      </c>
      <c r="J32" s="64">
        <f>404.468+47.658</f>
        <v>452.12600000000003</v>
      </c>
      <c r="K32" s="24"/>
      <c r="L32" s="24"/>
    </row>
    <row r="33" spans="1:12" ht="15.75">
      <c r="A33" s="46" t="s">
        <v>65</v>
      </c>
      <c r="B33" s="86">
        <f t="shared" si="7"/>
        <v>452.12600000000003</v>
      </c>
      <c r="C33" s="64">
        <f>3846.687+262.574</f>
        <v>4109.2609999999995</v>
      </c>
      <c r="D33" s="64">
        <f>(30307.778+8732+999.903+277.738)*2.204622/2000</f>
        <v>44.442334455308995</v>
      </c>
      <c r="E33" s="64">
        <f>SUM(B33:D33)</f>
        <v>4605.8293344553085</v>
      </c>
      <c r="F33" s="85"/>
      <c r="G33" s="87">
        <f>I33-H33</f>
        <v>2837.734110231835</v>
      </c>
      <c r="H33" s="64">
        <f>((931.728038+14.292+265.043105))*(2.204622/2)</f>
        <v>1334.968224223473</v>
      </c>
      <c r="I33" s="85">
        <f>E33-J33</f>
        <v>4172.702334455308</v>
      </c>
      <c r="J33" s="64">
        <f>391.812+41.315</f>
        <v>433.127</v>
      </c>
      <c r="K33" s="24"/>
      <c r="L33" s="24"/>
    </row>
    <row r="34" spans="1:10" ht="14.25">
      <c r="A34" s="42" t="s">
        <v>122</v>
      </c>
      <c r="B34" s="88"/>
      <c r="C34" s="73">
        <f>SUM(C26:C33)</f>
        <v>32922.154</v>
      </c>
      <c r="D34" s="73">
        <f>SUM(D26:D33)</f>
        <v>333.150366651354</v>
      </c>
      <c r="E34" s="73">
        <f>B26+C34+D34</f>
        <v>33655.93436665135</v>
      </c>
      <c r="F34" s="73"/>
      <c r="G34" s="73">
        <f>SUM(G26:G33)</f>
        <v>23633.167889088803</v>
      </c>
      <c r="H34" s="73">
        <f>SUM(H26:H33)</f>
        <v>9589.639477562549</v>
      </c>
      <c r="I34" s="73">
        <f>SUM(I26:I33)</f>
        <v>33222.80736665135</v>
      </c>
      <c r="J34" s="73"/>
    </row>
    <row r="35" spans="1:10" ht="16.5">
      <c r="A35" s="89" t="s">
        <v>133</v>
      </c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4.25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</row>
    <row r="37" spans="1:10" ht="14.25">
      <c r="A37" s="43" t="s">
        <v>26</v>
      </c>
      <c r="B37" s="81">
        <f ca="1">NOW()</f>
        <v>43297.368709490744</v>
      </c>
      <c r="C37" s="63"/>
      <c r="D37" s="59"/>
      <c r="E37" s="59"/>
      <c r="F37" s="59"/>
      <c r="G37" s="59"/>
      <c r="H37" s="59"/>
      <c r="I37" s="59"/>
      <c r="J37" s="59"/>
    </row>
    <row r="38" spans="1:10" ht="12.75">
      <c r="A38" s="1"/>
      <c r="B38" s="3"/>
      <c r="C38" s="4"/>
      <c r="D38" s="3"/>
      <c r="E38" s="3"/>
      <c r="F38" s="3"/>
      <c r="G38" s="3"/>
      <c r="H38" s="5"/>
      <c r="I38" s="3"/>
      <c r="J38" s="3"/>
    </row>
    <row r="39" spans="1:10" ht="12.75">
      <c r="A39" s="1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4.25">
      <c r="A2" s="43"/>
      <c r="B2" s="150" t="s">
        <v>0</v>
      </c>
      <c r="C2" s="150"/>
      <c r="D2" s="150"/>
      <c r="E2" s="150"/>
      <c r="F2" s="46"/>
      <c r="G2" s="150" t="s">
        <v>24</v>
      </c>
      <c r="H2" s="150"/>
      <c r="I2" s="150"/>
      <c r="J2" s="44"/>
      <c r="K2" s="44"/>
      <c r="L2" s="43"/>
    </row>
    <row r="3" spans="1:12" ht="14.25">
      <c r="A3" s="43" t="s">
        <v>84</v>
      </c>
      <c r="B3" s="45" t="s">
        <v>36</v>
      </c>
      <c r="C3" s="90" t="s">
        <v>1</v>
      </c>
      <c r="D3" s="90" t="s">
        <v>37</v>
      </c>
      <c r="E3" s="90" t="s">
        <v>32</v>
      </c>
      <c r="F3" s="90"/>
      <c r="G3" s="44" t="s">
        <v>35</v>
      </c>
      <c r="H3" s="44"/>
      <c r="I3" s="44"/>
      <c r="J3" s="90" t="s">
        <v>39</v>
      </c>
      <c r="K3" s="90" t="s">
        <v>32</v>
      </c>
      <c r="L3" s="90" t="s">
        <v>34</v>
      </c>
    </row>
    <row r="4" spans="1:12" ht="14.25">
      <c r="A4" s="48" t="s">
        <v>85</v>
      </c>
      <c r="B4" s="50" t="s">
        <v>33</v>
      </c>
      <c r="C4" s="51"/>
      <c r="D4" s="51"/>
      <c r="E4" s="51"/>
      <c r="F4" s="51"/>
      <c r="G4" s="50" t="s">
        <v>3</v>
      </c>
      <c r="H4" s="50" t="s">
        <v>98</v>
      </c>
      <c r="I4" s="50" t="s">
        <v>121</v>
      </c>
      <c r="J4" s="51"/>
      <c r="K4" s="51"/>
      <c r="L4" s="90" t="s">
        <v>97</v>
      </c>
    </row>
    <row r="5" spans="1:12" ht="14.25">
      <c r="A5" s="43"/>
      <c r="B5" s="148" t="s">
        <v>112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3" ht="16.5">
      <c r="A7" s="43" t="s">
        <v>129</v>
      </c>
      <c r="B7" s="84">
        <v>1686.813</v>
      </c>
      <c r="C7" s="84">
        <f>C24</f>
        <v>22123.409</v>
      </c>
      <c r="D7" s="84">
        <f>D24</f>
        <v>318.708767573532</v>
      </c>
      <c r="E7" s="84">
        <f>+B7+C7+D7</f>
        <v>24128.930767573533</v>
      </c>
      <c r="F7" s="84"/>
      <c r="G7" s="84">
        <f>+K7-J7</f>
        <v>19862.31453493718</v>
      </c>
      <c r="H7" s="84">
        <f>H24</f>
        <v>6200.299999999999</v>
      </c>
      <c r="I7" s="84">
        <f>G7-H7</f>
        <v>13662.014534937181</v>
      </c>
      <c r="J7" s="84">
        <f>J24</f>
        <v>2555.6622326363517</v>
      </c>
      <c r="K7" s="84">
        <f>+E7-L7</f>
        <v>22417.97676757353</v>
      </c>
      <c r="L7" s="84">
        <f>L23</f>
        <v>1710.954</v>
      </c>
      <c r="M7" s="17"/>
    </row>
    <row r="8" spans="1:13" ht="16.5">
      <c r="A8" s="43" t="s">
        <v>130</v>
      </c>
      <c r="B8" s="84">
        <f>+L7</f>
        <v>1710.954</v>
      </c>
      <c r="C8" s="84">
        <v>23440</v>
      </c>
      <c r="D8" s="84">
        <v>315</v>
      </c>
      <c r="E8" s="84">
        <f>+B8+C8+D8</f>
        <v>25465.954</v>
      </c>
      <c r="F8" s="84"/>
      <c r="G8" s="84">
        <f>+K8-J8</f>
        <v>20699.954</v>
      </c>
      <c r="H8" s="84">
        <v>6900</v>
      </c>
      <c r="I8" s="84">
        <f>G8-H8</f>
        <v>13799.954000000002</v>
      </c>
      <c r="J8" s="84">
        <v>2450</v>
      </c>
      <c r="K8" s="84">
        <f>+E8-L8</f>
        <v>23149.954</v>
      </c>
      <c r="L8" s="84">
        <v>2316</v>
      </c>
      <c r="M8" s="17"/>
    </row>
    <row r="9" spans="1:13" ht="16.5">
      <c r="A9" s="43" t="s">
        <v>172</v>
      </c>
      <c r="B9" s="84">
        <f>+L8</f>
        <v>2316</v>
      </c>
      <c r="C9" s="84">
        <v>23620</v>
      </c>
      <c r="D9" s="84">
        <v>300</v>
      </c>
      <c r="E9" s="84">
        <f>+B9+C9+D9</f>
        <v>26236</v>
      </c>
      <c r="F9" s="84"/>
      <c r="G9" s="84">
        <f>+K9-J9</f>
        <v>21800</v>
      </c>
      <c r="H9" s="84">
        <v>7800</v>
      </c>
      <c r="I9" s="84">
        <f>G9-H9</f>
        <v>14000</v>
      </c>
      <c r="J9" s="84">
        <v>2200</v>
      </c>
      <c r="K9" s="84">
        <f>+E9-L9</f>
        <v>24000</v>
      </c>
      <c r="L9" s="84">
        <v>2236</v>
      </c>
      <c r="M9" s="17"/>
    </row>
    <row r="10" spans="1:13" ht="14.25">
      <c r="A10" s="43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17"/>
    </row>
    <row r="11" spans="1:12" ht="14.25">
      <c r="A11" s="43" t="s">
        <v>120</v>
      </c>
      <c r="B11" s="84"/>
      <c r="C11" s="64"/>
      <c r="D11" s="64"/>
      <c r="E11" s="64"/>
      <c r="F11" s="85"/>
      <c r="G11" s="64"/>
      <c r="H11" s="64"/>
      <c r="I11" s="64"/>
      <c r="J11" s="64"/>
      <c r="K11" s="64"/>
      <c r="L11" s="85"/>
    </row>
    <row r="12" spans="1:12" ht="14.25">
      <c r="A12" s="46" t="s">
        <v>58</v>
      </c>
      <c r="B12" s="85">
        <f>1417.4+269.413</f>
        <v>1686.813</v>
      </c>
      <c r="C12" s="91">
        <v>2028.518</v>
      </c>
      <c r="D12" s="85">
        <f>(0.434626+0+6.110958+0)*2.204622</f>
        <v>14.430538489248</v>
      </c>
      <c r="E12" s="85">
        <f aca="true" t="shared" si="0" ref="E12:E23">SUM(B12:D12)</f>
        <v>3729.7615384892483</v>
      </c>
      <c r="F12" s="85"/>
      <c r="G12" s="85">
        <f aca="true" t="shared" si="1" ref="G12:G23">K12-J12</f>
        <v>1693.4684488477524</v>
      </c>
      <c r="H12" s="85">
        <v>525.96</v>
      </c>
      <c r="I12" s="85">
        <f aca="true" t="shared" si="2" ref="I12:I23">G12-H12</f>
        <v>1167.5084488477523</v>
      </c>
      <c r="J12" s="85">
        <f>(87.527672+0.238795+21.038125+0.503076)*2.204622</f>
        <v>240.98208964149597</v>
      </c>
      <c r="K12" s="85">
        <f aca="true" t="shared" si="3" ref="K12:K23">E12-L12</f>
        <v>1934.4505384892484</v>
      </c>
      <c r="L12" s="85">
        <f>1437.483+357.828</f>
        <v>1795.311</v>
      </c>
    </row>
    <row r="13" spans="1:12" ht="14.25">
      <c r="A13" s="46" t="s">
        <v>59</v>
      </c>
      <c r="B13" s="85">
        <f aca="true" t="shared" si="4" ref="B13:B18">L12</f>
        <v>1795.311</v>
      </c>
      <c r="C13" s="91">
        <v>1961.256</v>
      </c>
      <c r="D13" s="85">
        <f>(11.291133+0+6.136446+0)*2.204622</f>
        <v>38.421224070138</v>
      </c>
      <c r="E13" s="85">
        <f t="shared" si="0"/>
        <v>3794.988224070138</v>
      </c>
      <c r="F13" s="85"/>
      <c r="G13" s="85">
        <f t="shared" si="1"/>
        <v>1777.576038563534</v>
      </c>
      <c r="H13" s="85">
        <v>595.83</v>
      </c>
      <c r="I13" s="85">
        <f t="shared" si="2"/>
        <v>1181.746038563534</v>
      </c>
      <c r="J13" s="85">
        <f>(90.24774+0.217251+16.55696+0.343931)*2.204622</f>
        <v>236.70118550660402</v>
      </c>
      <c r="K13" s="85">
        <f t="shared" si="3"/>
        <v>2014.2772240701381</v>
      </c>
      <c r="L13" s="85">
        <f>1473.201+307.51</f>
        <v>1780.711</v>
      </c>
    </row>
    <row r="14" spans="1:12" ht="14.25">
      <c r="A14" s="46" t="s">
        <v>60</v>
      </c>
      <c r="B14" s="85">
        <f t="shared" si="4"/>
        <v>1780.711</v>
      </c>
      <c r="C14" s="91">
        <v>1950.176</v>
      </c>
      <c r="D14" s="85">
        <f>(12.194023+0+9.312901+0.00046)*2.204622</f>
        <v>47.415651928848</v>
      </c>
      <c r="E14" s="85">
        <f t="shared" si="0"/>
        <v>3778.302651928848</v>
      </c>
      <c r="F14" s="85"/>
      <c r="G14" s="85">
        <f t="shared" si="1"/>
        <v>1670.6219463191878</v>
      </c>
      <c r="H14" s="85">
        <v>610.47</v>
      </c>
      <c r="I14" s="85">
        <f t="shared" si="2"/>
        <v>1060.1519463191878</v>
      </c>
      <c r="J14" s="85">
        <f>(89.693028+0.363189+16.519097+0.205216)*2.204622</f>
        <v>235.41070560966</v>
      </c>
      <c r="K14" s="85">
        <f t="shared" si="3"/>
        <v>1906.0326519288478</v>
      </c>
      <c r="L14" s="85">
        <f>1505.351+366.919</f>
        <v>1872.27</v>
      </c>
    </row>
    <row r="15" spans="1:12" ht="14.25">
      <c r="A15" s="46" t="s">
        <v>61</v>
      </c>
      <c r="B15" s="85">
        <f t="shared" si="4"/>
        <v>1872.27</v>
      </c>
      <c r="C15" s="91">
        <v>1982.893</v>
      </c>
      <c r="D15" s="85">
        <f>(0.466576+0+9.795834+0.02089)*2.204622</f>
        <v>22.670789412599998</v>
      </c>
      <c r="E15" s="85">
        <f t="shared" si="0"/>
        <v>3877.8337894126</v>
      </c>
      <c r="F15" s="85"/>
      <c r="G15" s="85">
        <f t="shared" si="1"/>
        <v>1492.7819223601157</v>
      </c>
      <c r="H15" s="85">
        <v>390.11</v>
      </c>
      <c r="I15" s="85">
        <f t="shared" si="2"/>
        <v>1102.6719223601158</v>
      </c>
      <c r="J15" s="85">
        <f>(93.975464+0.129304+23.105929+0.430725)*2.204622</f>
        <v>259.354867052484</v>
      </c>
      <c r="K15" s="85">
        <f t="shared" si="3"/>
        <v>1752.1367894125997</v>
      </c>
      <c r="L15" s="85">
        <f>1731.033+394.664</f>
        <v>2125.697</v>
      </c>
    </row>
    <row r="16" spans="1:12" ht="14.25">
      <c r="A16" s="46" t="s">
        <v>62</v>
      </c>
      <c r="B16" s="85">
        <f t="shared" si="4"/>
        <v>2125.697</v>
      </c>
      <c r="C16" s="91">
        <v>1757.03</v>
      </c>
      <c r="D16" s="85">
        <f>(1.041719+0+8.449661+0)*2.204622</f>
        <v>20.924905158360005</v>
      </c>
      <c r="E16" s="85">
        <f t="shared" si="0"/>
        <v>3903.65190515836</v>
      </c>
      <c r="F16" s="85"/>
      <c r="G16" s="85">
        <f t="shared" si="1"/>
        <v>1451.589437605194</v>
      </c>
      <c r="H16" s="85">
        <v>369.18</v>
      </c>
      <c r="I16" s="85">
        <f t="shared" si="2"/>
        <v>1082.409437605194</v>
      </c>
      <c r="J16" s="85">
        <f>(89.650838+0.095622+18.256324+0.290369)*2.204622</f>
        <v>238.74546755316598</v>
      </c>
      <c r="K16" s="85">
        <f t="shared" si="3"/>
        <v>1690.33490515836</v>
      </c>
      <c r="L16" s="85">
        <f>1801.761+411.556</f>
        <v>2213.317</v>
      </c>
    </row>
    <row r="17" spans="1:12" ht="14.25">
      <c r="A17" s="46" t="s">
        <v>63</v>
      </c>
      <c r="B17" s="85">
        <f t="shared" si="4"/>
        <v>2213.317</v>
      </c>
      <c r="C17" s="91">
        <v>1865.466</v>
      </c>
      <c r="D17" s="85">
        <f>(0.758203+0+11.47952+0)*2.204622</f>
        <v>26.979553355706003</v>
      </c>
      <c r="E17" s="85">
        <f t="shared" si="0"/>
        <v>4105.762553355706</v>
      </c>
      <c r="F17" s="85"/>
      <c r="G17" s="85">
        <f t="shared" si="1"/>
        <v>1466.4654145410739</v>
      </c>
      <c r="H17" s="85">
        <v>369.46</v>
      </c>
      <c r="I17" s="85">
        <f t="shared" si="2"/>
        <v>1097.0054145410738</v>
      </c>
      <c r="J17" s="85">
        <f>(108.075711+0.337664+25.328653+0.276928)*2.204622</f>
        <v>295.461138814632</v>
      </c>
      <c r="K17" s="85">
        <f t="shared" si="3"/>
        <v>1761.926553355706</v>
      </c>
      <c r="L17" s="85">
        <f>1934.877+408.959</f>
        <v>2343.836</v>
      </c>
    </row>
    <row r="18" spans="1:12" ht="14.25">
      <c r="A18" s="46" t="s">
        <v>64</v>
      </c>
      <c r="B18" s="85">
        <f t="shared" si="4"/>
        <v>2343.836</v>
      </c>
      <c r="C18" s="91">
        <v>1737.775</v>
      </c>
      <c r="D18" s="85">
        <f>(1.601179+0+13.024339+0.006804)*2.204622</f>
        <v>32.258738992284</v>
      </c>
      <c r="E18" s="85">
        <f t="shared" si="0"/>
        <v>4113.869738992284</v>
      </c>
      <c r="F18" s="85"/>
      <c r="G18" s="85">
        <f t="shared" si="1"/>
        <v>1616.4764288912756</v>
      </c>
      <c r="H18" s="85">
        <v>426.71</v>
      </c>
      <c r="I18" s="85">
        <f t="shared" si="2"/>
        <v>1189.7664288912756</v>
      </c>
      <c r="J18" s="85">
        <f>(89.464045+0.094891+27.020814+0.176914)*2.204622</f>
        <v>257.40431010100804</v>
      </c>
      <c r="K18" s="85">
        <f t="shared" si="3"/>
        <v>1873.8807389922836</v>
      </c>
      <c r="L18" s="85">
        <f>1848.364+391.625</f>
        <v>2239.989</v>
      </c>
    </row>
    <row r="19" spans="1:12" ht="14.25">
      <c r="A19" s="46" t="s">
        <v>65</v>
      </c>
      <c r="B19" s="85">
        <f>L18</f>
        <v>2239.989</v>
      </c>
      <c r="C19" s="91">
        <v>1839.342</v>
      </c>
      <c r="D19" s="85">
        <f>(1.669208+0+12.616689+0)*2.204622</f>
        <v>31.495002815933997</v>
      </c>
      <c r="E19" s="85">
        <f t="shared" si="0"/>
        <v>4110.826002815934</v>
      </c>
      <c r="F19" s="85"/>
      <c r="G19" s="85">
        <f t="shared" si="1"/>
        <v>1680.2483986462278</v>
      </c>
      <c r="H19" s="85">
        <v>545.51</v>
      </c>
      <c r="I19" s="85">
        <f t="shared" si="2"/>
        <v>1134.7383986462278</v>
      </c>
      <c r="J19" s="85">
        <f>(47.935414+0.165843+24.707034+0.366432)*2.204622</f>
        <v>161.322604169706</v>
      </c>
      <c r="K19" s="85">
        <f t="shared" si="3"/>
        <v>1841.5710028159338</v>
      </c>
      <c r="L19" s="85">
        <f>1888.717+380.538</f>
        <v>2269.255</v>
      </c>
    </row>
    <row r="20" spans="1:12" ht="14.25">
      <c r="A20" s="46" t="s">
        <v>66</v>
      </c>
      <c r="B20" s="85">
        <f>L19</f>
        <v>2269.255</v>
      </c>
      <c r="C20" s="91">
        <v>1735.608</v>
      </c>
      <c r="D20" s="85">
        <f>(0.591416+0+10.424846+0.00225)*2.204622</f>
        <v>24.291653962464004</v>
      </c>
      <c r="E20" s="85">
        <f t="shared" si="0"/>
        <v>4029.154653962464</v>
      </c>
      <c r="F20" s="85"/>
      <c r="G20" s="85">
        <f t="shared" si="1"/>
        <v>1748.2885538861906</v>
      </c>
      <c r="H20" s="85">
        <v>548.84</v>
      </c>
      <c r="I20" s="85">
        <f t="shared" si="2"/>
        <v>1199.4485538861904</v>
      </c>
      <c r="J20" s="85">
        <f>(47.842155+0.32108+14.04586+0.381272)*2.204622</f>
        <v>137.988100076274</v>
      </c>
      <c r="K20" s="85">
        <f t="shared" si="3"/>
        <v>1886.2766539624645</v>
      </c>
      <c r="L20" s="85">
        <f>1815.157+327.721</f>
        <v>2142.8779999999997</v>
      </c>
    </row>
    <row r="21" spans="1:12" ht="14.25">
      <c r="A21" s="46" t="s">
        <v>68</v>
      </c>
      <c r="B21" s="85">
        <f>L20</f>
        <v>2142.8779999999997</v>
      </c>
      <c r="C21" s="91">
        <v>1801.376</v>
      </c>
      <c r="D21" s="85">
        <f>(0.528216+0+9.657898+0)*2.204622</f>
        <v>22.456531018908002</v>
      </c>
      <c r="E21" s="85">
        <f t="shared" si="0"/>
        <v>3966.710531018908</v>
      </c>
      <c r="F21" s="85"/>
      <c r="G21" s="85">
        <f t="shared" si="1"/>
        <v>1767.366290375522</v>
      </c>
      <c r="H21" s="85">
        <v>606.15</v>
      </c>
      <c r="I21" s="85">
        <f t="shared" si="2"/>
        <v>1161.216290375522</v>
      </c>
      <c r="J21" s="85">
        <f>(65.02301+0.148382+24.814047+0.209724)*2.204622</f>
        <v>198.84624064338598</v>
      </c>
      <c r="K21" s="85">
        <f t="shared" si="3"/>
        <v>1966.212531018908</v>
      </c>
      <c r="L21" s="85">
        <f>1627.909+372.589</f>
        <v>2000.498</v>
      </c>
    </row>
    <row r="22" spans="1:12" ht="14.25">
      <c r="A22" s="46" t="s">
        <v>69</v>
      </c>
      <c r="B22" s="85">
        <f>L21</f>
        <v>2000.498</v>
      </c>
      <c r="C22" s="91">
        <v>1762.207</v>
      </c>
      <c r="D22" s="85">
        <f>(0.495803+0+8.286889+0)*2.204622</f>
        <v>19.362516002424</v>
      </c>
      <c r="E22" s="85">
        <f t="shared" si="0"/>
        <v>3782.067516002424</v>
      </c>
      <c r="F22" s="85"/>
      <c r="G22" s="85">
        <f t="shared" si="1"/>
        <v>1808.515542858618</v>
      </c>
      <c r="H22" s="85">
        <v>608.17</v>
      </c>
      <c r="I22" s="85">
        <f t="shared" si="2"/>
        <v>1200.345542858618</v>
      </c>
      <c r="J22" s="85">
        <f>(58.152578+0.182461+15.446844+0.24939)*2.204622</f>
        <v>163.21097314380603</v>
      </c>
      <c r="K22" s="85">
        <f t="shared" si="3"/>
        <v>1971.726516002424</v>
      </c>
      <c r="L22" s="85">
        <f>1483.031+327.31</f>
        <v>1810.341</v>
      </c>
    </row>
    <row r="23" spans="1:12" ht="14.25">
      <c r="A23" s="46" t="s">
        <v>71</v>
      </c>
      <c r="B23" s="85">
        <f>L22</f>
        <v>1810.341</v>
      </c>
      <c r="C23" s="91">
        <v>1701.762</v>
      </c>
      <c r="D23" s="85">
        <f>(0.556101+0+7.608838+0.00048)*2.204622</f>
        <v>18.001662366618</v>
      </c>
      <c r="E23" s="85">
        <f t="shared" si="0"/>
        <v>3530.104662366618</v>
      </c>
      <c r="F23" s="85"/>
      <c r="G23" s="85">
        <f t="shared" si="1"/>
        <v>1688.916112042488</v>
      </c>
      <c r="H23" s="85">
        <v>603.91</v>
      </c>
      <c r="I23" s="85">
        <f t="shared" si="2"/>
        <v>1085.006112042488</v>
      </c>
      <c r="J23" s="85">
        <f>(41.914049+0.162186+16.816761+0.180419)*2.204622</f>
        <v>130.23455032413</v>
      </c>
      <c r="K23" s="85">
        <f t="shared" si="3"/>
        <v>1819.150662366618</v>
      </c>
      <c r="L23" s="85">
        <f>1400.918+310.036</f>
        <v>1710.954</v>
      </c>
    </row>
    <row r="24" spans="1:12" ht="14.25">
      <c r="A24" s="46" t="s">
        <v>38</v>
      </c>
      <c r="B24" s="85"/>
      <c r="C24" s="64">
        <f>SUM(C12:C23)</f>
        <v>22123.409</v>
      </c>
      <c r="D24" s="85">
        <f>SUM(D12:D23)</f>
        <v>318.708767573532</v>
      </c>
      <c r="E24" s="85">
        <f>B12+C24+D24</f>
        <v>24128.930767573533</v>
      </c>
      <c r="F24" s="85"/>
      <c r="G24" s="85">
        <f>SUM(G12:G23)</f>
        <v>19862.314534937177</v>
      </c>
      <c r="H24" s="85">
        <f>SUM(H12:H23)</f>
        <v>6200.299999999999</v>
      </c>
      <c r="I24" s="85">
        <f>SUM(I12:I23)</f>
        <v>13662.014534937178</v>
      </c>
      <c r="J24" s="85">
        <f>SUM(J12:J23)</f>
        <v>2555.6622326363517</v>
      </c>
      <c r="K24" s="64">
        <f>SUM(K12:K23)</f>
        <v>22417.97676757353</v>
      </c>
      <c r="L24" s="85"/>
    </row>
    <row r="25" spans="1:12" ht="14.25">
      <c r="A25" s="46"/>
      <c r="B25" s="85"/>
      <c r="C25" s="91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4.25">
      <c r="A26" s="43" t="s">
        <v>123</v>
      </c>
      <c r="B26" s="84"/>
      <c r="C26" s="64"/>
      <c r="D26" s="64"/>
      <c r="E26" s="64"/>
      <c r="F26" s="85"/>
      <c r="G26" s="64"/>
      <c r="H26" s="64"/>
      <c r="I26" s="64"/>
      <c r="J26" s="64"/>
      <c r="K26" s="64"/>
      <c r="L26" s="85"/>
    </row>
    <row r="27" spans="1:12" ht="14.25">
      <c r="A27" s="46" t="s">
        <v>58</v>
      </c>
      <c r="B27" s="85">
        <f>L23</f>
        <v>1710.954</v>
      </c>
      <c r="C27" s="91">
        <v>2016.888</v>
      </c>
      <c r="D27" s="85">
        <f>(0.663115+0+13.936652+0)*2.204622</f>
        <v>32.186967523074</v>
      </c>
      <c r="E27" s="85">
        <f aca="true" t="shared" si="5" ref="E27:E33">SUM(B27:D27)</f>
        <v>3760.028967523074</v>
      </c>
      <c r="F27" s="85"/>
      <c r="G27" s="85">
        <f aca="true" t="shared" si="6" ref="G27:G33">K27-J27</f>
        <v>1921.1646905235377</v>
      </c>
      <c r="H27" s="85">
        <v>577.43</v>
      </c>
      <c r="I27" s="85">
        <f aca="true" t="shared" si="7" ref="I27:I33">G27-H27</f>
        <v>1343.7346905235377</v>
      </c>
      <c r="J27" s="85">
        <f>(80.225792+0.085525+15.875468+0.265703)*2.204622</f>
        <v>212.64127699953602</v>
      </c>
      <c r="K27" s="85">
        <f aca="true" t="shared" si="8" ref="K27:K33">E27-L27</f>
        <v>2133.805967523074</v>
      </c>
      <c r="L27" s="85">
        <f>1300.36+325.863</f>
        <v>1626.223</v>
      </c>
    </row>
    <row r="28" spans="1:12" ht="14.25">
      <c r="A28" s="46" t="s">
        <v>59</v>
      </c>
      <c r="B28" s="85">
        <f aca="true" t="shared" si="9" ref="B28:B33">L27</f>
        <v>1626.223</v>
      </c>
      <c r="C28" s="64">
        <v>1977.005</v>
      </c>
      <c r="D28" s="85">
        <f>(0.66927+0+9.3206+0.0008)*2.204622</f>
        <v>22.02565087674</v>
      </c>
      <c r="E28" s="85">
        <f t="shared" si="5"/>
        <v>3625.2536508767403</v>
      </c>
      <c r="F28" s="85"/>
      <c r="G28" s="85">
        <f t="shared" si="6"/>
        <v>1802.5259723672164</v>
      </c>
      <c r="H28" s="85">
        <v>590.8</v>
      </c>
      <c r="I28" s="85">
        <f t="shared" si="7"/>
        <v>1211.7259723672164</v>
      </c>
      <c r="J28" s="85">
        <f>(41.937459+0.208519+17.592609+0.202155)*2.204622</f>
        <v>132.14667850952398</v>
      </c>
      <c r="K28" s="85">
        <f t="shared" si="8"/>
        <v>1934.6726508767404</v>
      </c>
      <c r="L28" s="85">
        <f>1379.223+311.358</f>
        <v>1690.581</v>
      </c>
    </row>
    <row r="29" spans="1:12" ht="14.25">
      <c r="A29" s="46" t="s">
        <v>60</v>
      </c>
      <c r="B29" s="85">
        <f t="shared" si="9"/>
        <v>1690.581</v>
      </c>
      <c r="C29" s="64">
        <v>2015.256</v>
      </c>
      <c r="D29" s="85">
        <f>(0.611691+0+13.538281+0.0008)*2.204622</f>
        <v>31.197103268184</v>
      </c>
      <c r="E29" s="85">
        <f t="shared" si="5"/>
        <v>3737.034103268184</v>
      </c>
      <c r="F29" s="85"/>
      <c r="G29" s="85">
        <f t="shared" si="6"/>
        <v>1613.4431539013021</v>
      </c>
      <c r="H29" s="85">
        <v>593.99</v>
      </c>
      <c r="I29" s="85">
        <f t="shared" si="7"/>
        <v>1019.4531539013021</v>
      </c>
      <c r="J29" s="85">
        <f>(60.89152+0.230156+17.166633+0.145522)*2.204622</f>
        <v>172.916949366882</v>
      </c>
      <c r="K29" s="85">
        <f t="shared" si="8"/>
        <v>1786.360103268184</v>
      </c>
      <c r="L29" s="85">
        <f>1583.544+367.13</f>
        <v>1950.674</v>
      </c>
    </row>
    <row r="30" spans="1:12" ht="14.25">
      <c r="A30" s="46" t="s">
        <v>61</v>
      </c>
      <c r="B30" s="85">
        <f t="shared" si="9"/>
        <v>1950.674</v>
      </c>
      <c r="C30" s="64">
        <v>1995.589</v>
      </c>
      <c r="D30" s="85">
        <f>(0.671011+0.001728+9.360229+0)*2.204622</f>
        <v>22.118901978096</v>
      </c>
      <c r="E30" s="85">
        <f t="shared" si="5"/>
        <v>3968.381901978096</v>
      </c>
      <c r="F30" s="85"/>
      <c r="G30" s="85">
        <f t="shared" si="6"/>
        <v>1547.9299381743697</v>
      </c>
      <c r="H30" s="85">
        <v>462.12</v>
      </c>
      <c r="I30" s="85">
        <f t="shared" si="7"/>
        <v>1085.8099381743696</v>
      </c>
      <c r="J30" s="85">
        <f>(67.939406+0.153133+13.644+0.213094)*2.204622</f>
        <v>180.66796380372602</v>
      </c>
      <c r="K30" s="85">
        <f t="shared" si="8"/>
        <v>1728.5979019780957</v>
      </c>
      <c r="L30" s="85">
        <f>1886.728+353.056</f>
        <v>2239.784</v>
      </c>
    </row>
    <row r="31" spans="1:12" ht="14.25">
      <c r="A31" s="46" t="s">
        <v>62</v>
      </c>
      <c r="B31" s="85">
        <f t="shared" si="9"/>
        <v>2239.784</v>
      </c>
      <c r="C31" s="64">
        <v>1889.841</v>
      </c>
      <c r="D31" s="85">
        <f>(10.974745+0+7.681166+0.0008)*2.204622</f>
        <v>41.130995518242</v>
      </c>
      <c r="E31" s="85">
        <f t="shared" si="5"/>
        <v>4170.755995518242</v>
      </c>
      <c r="F31" s="85"/>
      <c r="G31" s="85">
        <f t="shared" si="6"/>
        <v>1564.2792080768288</v>
      </c>
      <c r="H31" s="85">
        <v>495.59</v>
      </c>
      <c r="I31" s="85">
        <f t="shared" si="7"/>
        <v>1068.689208076829</v>
      </c>
      <c r="J31" s="85">
        <f>(68.827952+0.142344+12.955662+0.217279)*2.204622</f>
        <v>181.094787441414</v>
      </c>
      <c r="K31" s="85">
        <f t="shared" si="8"/>
        <v>1745.3739955182427</v>
      </c>
      <c r="L31" s="85">
        <f>2049.644+375.738</f>
        <v>2425.3819999999996</v>
      </c>
    </row>
    <row r="32" spans="1:12" ht="14.25">
      <c r="A32" s="46" t="s">
        <v>63</v>
      </c>
      <c r="B32" s="85">
        <f t="shared" si="9"/>
        <v>2425.3819999999996</v>
      </c>
      <c r="C32" s="64">
        <v>2079.123</v>
      </c>
      <c r="D32" s="85">
        <f>(1.613442+0+7.947498+0.0008)*2.204622</f>
        <v>21.08002236228</v>
      </c>
      <c r="E32" s="85">
        <f t="shared" si="5"/>
        <v>4525.585022362279</v>
      </c>
      <c r="F32" s="85"/>
      <c r="G32" s="85">
        <f t="shared" si="6"/>
        <v>1879.5722664204213</v>
      </c>
      <c r="H32" s="85">
        <v>624.15</v>
      </c>
      <c r="I32" s="85">
        <f t="shared" si="7"/>
        <v>1255.4222664204212</v>
      </c>
      <c r="J32" s="85">
        <f>(62.563038+0.255788+28.340078+0.253935)*2.204622</f>
        <v>201.53075594185802</v>
      </c>
      <c r="K32" s="85">
        <f t="shared" si="8"/>
        <v>2081.1030223622793</v>
      </c>
      <c r="L32" s="85">
        <f>2080.138+364.344</f>
        <v>2444.482</v>
      </c>
    </row>
    <row r="33" spans="1:12" ht="14.25">
      <c r="A33" s="46" t="s">
        <v>64</v>
      </c>
      <c r="B33" s="85">
        <f t="shared" si="9"/>
        <v>2444.482</v>
      </c>
      <c r="C33" s="64">
        <v>1964.922</v>
      </c>
      <c r="D33" s="85">
        <f>(0.567115+0.103249+12.3464+0)*2.204622</f>
        <v>28.697044283207997</v>
      </c>
      <c r="E33" s="85">
        <f t="shared" si="5"/>
        <v>4438.1010442832085</v>
      </c>
      <c r="F33" s="85"/>
      <c r="G33" s="85">
        <f t="shared" si="6"/>
        <v>1537.0046059233325</v>
      </c>
      <c r="H33" s="85">
        <v>519.56</v>
      </c>
      <c r="I33" s="85">
        <f t="shared" si="7"/>
        <v>1017.4446059233326</v>
      </c>
      <c r="J33" s="85">
        <f>(74.547873+0.133339+21.342471+0.283275)*2.204622</f>
        <v>212.32043835987602</v>
      </c>
      <c r="K33" s="85">
        <f t="shared" si="8"/>
        <v>1749.3250442832086</v>
      </c>
      <c r="L33" s="85">
        <f>2316.192+372.584</f>
        <v>2688.776</v>
      </c>
    </row>
    <row r="34" spans="1:12" ht="14.25">
      <c r="A34" s="46" t="s">
        <v>65</v>
      </c>
      <c r="B34" s="85">
        <f>L33</f>
        <v>2688.776</v>
      </c>
      <c r="C34" s="64">
        <v>1966.511</v>
      </c>
      <c r="D34" s="85">
        <f>(0.754842+0+14.709869+0.00128)*2.204622</f>
        <v>34.096664010402</v>
      </c>
      <c r="E34" s="85">
        <f>SUM(B34:D34)</f>
        <v>4689.383664010402</v>
      </c>
      <c r="F34" s="85"/>
      <c r="G34" s="85">
        <f>K34-J34</f>
        <v>1883.9005750484957</v>
      </c>
      <c r="H34" s="85" t="s">
        <v>10</v>
      </c>
      <c r="I34" s="85" t="s">
        <v>10</v>
      </c>
      <c r="J34" s="85">
        <f>(171.049084+0.572188+23.792737+0.275814)*2.204622</f>
        <v>431.422088961906</v>
      </c>
      <c r="K34" s="85">
        <f>E34-L34</f>
        <v>2315.3226640104017</v>
      </c>
      <c r="L34" s="85">
        <f>2002.934+371.127</f>
        <v>2374.061</v>
      </c>
    </row>
    <row r="35" spans="1:12" ht="14.25">
      <c r="A35" s="42" t="s">
        <v>122</v>
      </c>
      <c r="B35" s="92"/>
      <c r="C35" s="73">
        <f>SUM(C27:C34)</f>
        <v>15905.135</v>
      </c>
      <c r="D35" s="92">
        <f>SUM(D27:D34)</f>
        <v>232.53334982022602</v>
      </c>
      <c r="E35" s="73">
        <f>B27+C35+D35</f>
        <v>17848.622349820227</v>
      </c>
      <c r="F35" s="92"/>
      <c r="G35" s="73">
        <f>SUM(G27:G34)</f>
        <v>13749.820410435505</v>
      </c>
      <c r="H35" s="73">
        <f>SUM(H27:H34)</f>
        <v>3863.6400000000003</v>
      </c>
      <c r="I35" s="73">
        <f>SUM(I27:I34)</f>
        <v>8002.279835387008</v>
      </c>
      <c r="J35" s="73">
        <f>SUM(J27:J34)</f>
        <v>1724.7409393847222</v>
      </c>
      <c r="K35" s="73">
        <f>SUM(K27:K34)</f>
        <v>15474.561349820226</v>
      </c>
      <c r="L35" s="92"/>
    </row>
    <row r="36" spans="1:12" ht="16.5">
      <c r="A36" s="89" t="s">
        <v>135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spans="1:12" ht="14.25">
      <c r="A37" s="43" t="s">
        <v>134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ht="14.25">
      <c r="A38" s="43" t="s">
        <v>26</v>
      </c>
      <c r="B38" s="81">
        <f ca="1">NOW()</f>
        <v>43297.368709490744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42" t="s">
        <v>11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  <c r="N1" s="43"/>
      <c r="O1" s="43"/>
    </row>
    <row r="2" spans="1:15" ht="14.25">
      <c r="A2" s="43"/>
      <c r="B2" s="150" t="s">
        <v>0</v>
      </c>
      <c r="C2" s="150"/>
      <c r="D2" s="150"/>
      <c r="E2" s="150"/>
      <c r="F2" s="93"/>
      <c r="G2" s="150" t="s">
        <v>24</v>
      </c>
      <c r="H2" s="150"/>
      <c r="I2" s="150"/>
      <c r="J2" s="150"/>
      <c r="K2" s="93"/>
      <c r="L2" s="43"/>
      <c r="M2" s="43"/>
      <c r="N2" s="43"/>
      <c r="O2" s="43"/>
    </row>
    <row r="3" spans="1:15" ht="14.25">
      <c r="A3" s="43" t="s">
        <v>84</v>
      </c>
      <c r="B3" s="47" t="s">
        <v>36</v>
      </c>
      <c r="C3" s="47"/>
      <c r="D3" s="47"/>
      <c r="E3" s="47"/>
      <c r="F3" s="94"/>
      <c r="G3" s="47"/>
      <c r="H3" s="47"/>
      <c r="I3" s="47"/>
      <c r="J3" s="47"/>
      <c r="K3" s="45" t="s">
        <v>34</v>
      </c>
      <c r="L3" s="43"/>
      <c r="M3" s="43"/>
      <c r="N3" s="43"/>
      <c r="O3" s="43"/>
    </row>
    <row r="4" spans="1:15" ht="14.25">
      <c r="A4" s="48" t="s">
        <v>86</v>
      </c>
      <c r="B4" s="50" t="s">
        <v>54</v>
      </c>
      <c r="C4" s="95" t="s">
        <v>1</v>
      </c>
      <c r="D4" s="52" t="s">
        <v>37</v>
      </c>
      <c r="E4" s="50" t="s">
        <v>96</v>
      </c>
      <c r="F4" s="51"/>
      <c r="G4" s="50" t="s">
        <v>40</v>
      </c>
      <c r="H4" s="50" t="s">
        <v>4</v>
      </c>
      <c r="I4" s="50" t="s">
        <v>41</v>
      </c>
      <c r="J4" s="50" t="s">
        <v>38</v>
      </c>
      <c r="K4" s="50" t="s">
        <v>33</v>
      </c>
      <c r="L4" s="43"/>
      <c r="M4" s="43"/>
      <c r="N4" s="43"/>
      <c r="O4" s="43"/>
    </row>
    <row r="5" spans="1:15" ht="14.25">
      <c r="A5" s="43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43"/>
      <c r="M5" s="43"/>
      <c r="N5" s="43"/>
      <c r="O5" s="43"/>
    </row>
    <row r="6" spans="1:15" ht="14.25">
      <c r="A6" s="43"/>
      <c r="B6" s="43"/>
      <c r="C6" s="43"/>
      <c r="D6" s="43"/>
      <c r="E6" s="43"/>
      <c r="F6" s="43"/>
      <c r="G6" s="90"/>
      <c r="H6" s="96"/>
      <c r="I6" s="90"/>
      <c r="J6" s="90"/>
      <c r="K6" s="43"/>
      <c r="L6" s="43"/>
      <c r="M6" s="43"/>
      <c r="N6" s="43"/>
      <c r="O6" s="43"/>
    </row>
    <row r="7" spans="1:15" ht="16.5">
      <c r="A7" s="43" t="s">
        <v>129</v>
      </c>
      <c r="B7" s="97">
        <v>391</v>
      </c>
      <c r="C7" s="97">
        <v>5369</v>
      </c>
      <c r="D7" s="98">
        <v>51.079</v>
      </c>
      <c r="E7" s="97">
        <f>+B7+C7+D7</f>
        <v>5811.079</v>
      </c>
      <c r="F7" s="58"/>
      <c r="G7" s="97">
        <v>1769.4399999999998</v>
      </c>
      <c r="H7" s="99">
        <v>341.655</v>
      </c>
      <c r="I7" s="97">
        <f>J7-G7-H7</f>
        <v>3299.9840000000004</v>
      </c>
      <c r="J7" s="97">
        <f>E7-K7</f>
        <v>5411.079</v>
      </c>
      <c r="K7" s="97">
        <v>400</v>
      </c>
      <c r="L7" s="43"/>
      <c r="M7" s="43"/>
      <c r="N7" s="43"/>
      <c r="O7" s="43"/>
    </row>
    <row r="8" spans="1:15" ht="16.5">
      <c r="A8" s="43" t="s">
        <v>130</v>
      </c>
      <c r="B8" s="97">
        <f>+K7</f>
        <v>400</v>
      </c>
      <c r="C8" s="97">
        <v>6422</v>
      </c>
      <c r="D8" s="98">
        <v>0</v>
      </c>
      <c r="E8" s="97">
        <f>+B8+C8+D8</f>
        <v>6822</v>
      </c>
      <c r="F8" s="58"/>
      <c r="G8" s="97">
        <v>1850</v>
      </c>
      <c r="H8" s="99">
        <v>475</v>
      </c>
      <c r="I8" s="97">
        <f>J8-G8-H8</f>
        <v>4047</v>
      </c>
      <c r="J8" s="97">
        <f>E8-K8</f>
        <v>6372</v>
      </c>
      <c r="K8" s="97">
        <v>450</v>
      </c>
      <c r="L8" s="43"/>
      <c r="M8" s="43"/>
      <c r="N8" s="43"/>
      <c r="O8" s="43"/>
    </row>
    <row r="9" spans="1:15" ht="16.5">
      <c r="A9" s="42" t="s">
        <v>172</v>
      </c>
      <c r="B9" s="100">
        <f>+K8</f>
        <v>450</v>
      </c>
      <c r="C9" s="100">
        <v>5800</v>
      </c>
      <c r="D9" s="101">
        <v>0</v>
      </c>
      <c r="E9" s="100">
        <f>+B9+C9+D9</f>
        <v>6250</v>
      </c>
      <c r="F9" s="102"/>
      <c r="G9" s="100">
        <v>1900</v>
      </c>
      <c r="H9" s="103">
        <v>425</v>
      </c>
      <c r="I9" s="100">
        <f>J9-G9-H9</f>
        <v>3550</v>
      </c>
      <c r="J9" s="100">
        <f>E9-K9</f>
        <v>5875</v>
      </c>
      <c r="K9" s="100">
        <v>375</v>
      </c>
      <c r="L9" s="43"/>
      <c r="M9" s="43"/>
      <c r="N9" s="43"/>
      <c r="O9" s="43"/>
    </row>
    <row r="10" spans="1:15" ht="16.5">
      <c r="A10" s="89" t="s">
        <v>136</v>
      </c>
      <c r="B10" s="43"/>
      <c r="C10" s="58"/>
      <c r="D10" s="58"/>
      <c r="E10" s="58"/>
      <c r="F10" s="58"/>
      <c r="G10" s="58"/>
      <c r="H10" s="58"/>
      <c r="I10" s="58"/>
      <c r="J10" s="58"/>
      <c r="K10" s="43"/>
      <c r="L10" s="43"/>
      <c r="M10" s="43"/>
      <c r="N10" s="43"/>
      <c r="O10" s="43"/>
    </row>
    <row r="11" spans="1:15" ht="14.25">
      <c r="A11" s="43" t="s">
        <v>137</v>
      </c>
      <c r="B11" s="59"/>
      <c r="C11" s="63"/>
      <c r="D11" s="43"/>
      <c r="E11" s="59"/>
      <c r="F11" s="59"/>
      <c r="G11" s="59"/>
      <c r="H11" s="59"/>
      <c r="I11" s="59"/>
      <c r="J11" s="59"/>
      <c r="K11" s="43"/>
      <c r="L11" s="43"/>
      <c r="M11" s="43"/>
      <c r="N11" s="43"/>
      <c r="O11" s="43"/>
    </row>
    <row r="12" spans="1:15" ht="14.25">
      <c r="A12" s="43" t="s">
        <v>138</v>
      </c>
      <c r="B12" s="59"/>
      <c r="C12" s="63"/>
      <c r="D12" s="43"/>
      <c r="E12" s="59"/>
      <c r="F12" s="59"/>
      <c r="G12" s="59"/>
      <c r="H12" s="59"/>
      <c r="I12" s="59"/>
      <c r="J12" s="59"/>
      <c r="K12" s="43"/>
      <c r="L12" s="43"/>
      <c r="M12" s="43"/>
      <c r="N12" s="43"/>
      <c r="O12" s="43"/>
    </row>
    <row r="13" spans="1:15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4.25">
      <c r="A14" s="42" t="s">
        <v>12</v>
      </c>
      <c r="B14" s="42"/>
      <c r="C14" s="42"/>
      <c r="D14" s="42"/>
      <c r="E14" s="42"/>
      <c r="F14" s="42"/>
      <c r="G14" s="42"/>
      <c r="H14" s="42"/>
      <c r="I14" s="43"/>
      <c r="J14" s="42"/>
      <c r="K14" s="43"/>
      <c r="L14" s="43"/>
      <c r="M14" s="43"/>
      <c r="N14" s="43"/>
      <c r="O14" s="43"/>
    </row>
    <row r="15" spans="1:15" ht="14.25">
      <c r="A15" s="43"/>
      <c r="B15" s="150" t="s">
        <v>0</v>
      </c>
      <c r="C15" s="150"/>
      <c r="D15" s="150"/>
      <c r="E15" s="150"/>
      <c r="F15" s="43"/>
      <c r="G15" s="150" t="s">
        <v>24</v>
      </c>
      <c r="H15" s="150"/>
      <c r="I15" s="150"/>
      <c r="J15" s="43"/>
      <c r="K15" s="43"/>
      <c r="L15" s="43"/>
      <c r="M15" s="43"/>
      <c r="N15" s="43"/>
      <c r="O15" s="43"/>
    </row>
    <row r="16" spans="1:15" ht="14.25">
      <c r="A16" s="43" t="s">
        <v>84</v>
      </c>
      <c r="B16" s="45" t="s">
        <v>36</v>
      </c>
      <c r="C16" s="47"/>
      <c r="D16" s="47"/>
      <c r="E16" s="47"/>
      <c r="F16" s="47"/>
      <c r="G16" s="47"/>
      <c r="H16" s="47"/>
      <c r="I16" s="47"/>
      <c r="J16" s="45" t="s">
        <v>34</v>
      </c>
      <c r="K16" s="43"/>
      <c r="L16" s="43"/>
      <c r="M16" s="43"/>
      <c r="N16" s="43"/>
      <c r="O16" s="43"/>
    </row>
    <row r="17" spans="1:15" ht="14.25">
      <c r="A17" s="48" t="s">
        <v>85</v>
      </c>
      <c r="B17" s="50" t="s">
        <v>33</v>
      </c>
      <c r="C17" s="95" t="s">
        <v>1</v>
      </c>
      <c r="D17" s="52" t="s">
        <v>37</v>
      </c>
      <c r="E17" s="50" t="s">
        <v>38</v>
      </c>
      <c r="F17" s="51"/>
      <c r="G17" s="104" t="s">
        <v>9</v>
      </c>
      <c r="H17" s="50" t="s">
        <v>4</v>
      </c>
      <c r="I17" s="52" t="s">
        <v>32</v>
      </c>
      <c r="J17" s="50" t="s">
        <v>33</v>
      </c>
      <c r="K17" s="43"/>
      <c r="L17" s="43"/>
      <c r="M17" s="43"/>
      <c r="N17" s="43"/>
      <c r="O17" s="43"/>
    </row>
    <row r="18" spans="1:15" ht="14.25">
      <c r="A18" s="43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43"/>
      <c r="L18" s="43"/>
      <c r="M18" s="43"/>
      <c r="N18" s="43"/>
      <c r="O18" s="43"/>
    </row>
    <row r="19" spans="1:15" ht="14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15" ht="16.5">
      <c r="A20" s="43" t="s">
        <v>129</v>
      </c>
      <c r="B20" s="97">
        <v>19.676</v>
      </c>
      <c r="C20" s="99">
        <v>805.2929999999999</v>
      </c>
      <c r="D20" s="98">
        <v>0</v>
      </c>
      <c r="E20" s="99">
        <f>+B20+D20+C20</f>
        <v>824.9689999999999</v>
      </c>
      <c r="F20" s="43"/>
      <c r="G20" s="99">
        <f>+I20-H20</f>
        <v>687.0128503574739</v>
      </c>
      <c r="H20" s="99">
        <v>110.22014964252601</v>
      </c>
      <c r="I20" s="99">
        <f>+E20-J20</f>
        <v>797.233</v>
      </c>
      <c r="J20" s="97">
        <v>27.736</v>
      </c>
      <c r="K20" s="43"/>
      <c r="L20" s="43"/>
      <c r="M20" s="43"/>
      <c r="N20" s="43"/>
      <c r="O20" s="43"/>
    </row>
    <row r="21" spans="1:15" ht="16.5">
      <c r="A21" s="43" t="s">
        <v>130</v>
      </c>
      <c r="B21" s="97">
        <f>+J20</f>
        <v>27.736</v>
      </c>
      <c r="C21" s="99">
        <v>835</v>
      </c>
      <c r="D21" s="98">
        <v>0</v>
      </c>
      <c r="E21" s="99">
        <f>+B21+D21+C21</f>
        <v>862.736</v>
      </c>
      <c r="F21" s="43"/>
      <c r="G21" s="99">
        <f>+I21-H21</f>
        <v>697.736</v>
      </c>
      <c r="H21" s="99">
        <v>125</v>
      </c>
      <c r="I21" s="99">
        <f>+E21-J21</f>
        <v>822.736</v>
      </c>
      <c r="J21" s="97">
        <v>40</v>
      </c>
      <c r="K21" s="43"/>
      <c r="L21" s="43"/>
      <c r="M21" s="43"/>
      <c r="N21" s="43"/>
      <c r="O21" s="43"/>
    </row>
    <row r="22" spans="1:15" ht="16.5">
      <c r="A22" s="42" t="s">
        <v>172</v>
      </c>
      <c r="B22" s="100">
        <f>+J21</f>
        <v>40</v>
      </c>
      <c r="C22" s="103">
        <v>855</v>
      </c>
      <c r="D22" s="101">
        <v>0</v>
      </c>
      <c r="E22" s="103">
        <f>+B22+D22+C22</f>
        <v>895</v>
      </c>
      <c r="F22" s="102"/>
      <c r="G22" s="103">
        <f>+I22-H22</f>
        <v>735</v>
      </c>
      <c r="H22" s="103">
        <v>120</v>
      </c>
      <c r="I22" s="103">
        <f>+E22-J22</f>
        <v>855</v>
      </c>
      <c r="J22" s="100">
        <v>40</v>
      </c>
      <c r="K22" s="43"/>
      <c r="L22" s="43"/>
      <c r="M22" s="43"/>
      <c r="N22" s="43"/>
      <c r="O22" s="43"/>
    </row>
    <row r="23" spans="1:15" ht="16.5">
      <c r="A23" s="89" t="s">
        <v>136</v>
      </c>
      <c r="B23" s="43"/>
      <c r="C23" s="58"/>
      <c r="D23" s="58"/>
      <c r="E23" s="58"/>
      <c r="F23" s="58"/>
      <c r="G23" s="58"/>
      <c r="H23" s="58"/>
      <c r="I23" s="43"/>
      <c r="J23" s="43"/>
      <c r="K23" s="43"/>
      <c r="L23" s="43"/>
      <c r="M23" s="43"/>
      <c r="N23" s="43"/>
      <c r="O23" s="43"/>
    </row>
    <row r="24" spans="1:15" ht="14.25">
      <c r="A24" s="43" t="s">
        <v>139</v>
      </c>
      <c r="B24" s="105"/>
      <c r="C24" s="105"/>
      <c r="D24" s="105"/>
      <c r="E24" s="105"/>
      <c r="F24" s="105"/>
      <c r="G24" s="105"/>
      <c r="H24" s="105"/>
      <c r="I24" s="43"/>
      <c r="J24" s="43"/>
      <c r="K24" s="43"/>
      <c r="L24" s="43"/>
      <c r="M24" s="43"/>
      <c r="N24" s="43"/>
      <c r="O24" s="43"/>
    </row>
    <row r="25" spans="1:15" ht="14.25">
      <c r="A25" s="46"/>
      <c r="B25" s="59"/>
      <c r="C25" s="59"/>
      <c r="D25" s="59"/>
      <c r="E25" s="59"/>
      <c r="F25" s="59"/>
      <c r="G25" s="59"/>
      <c r="H25" s="59"/>
      <c r="I25" s="43"/>
      <c r="J25" s="43"/>
      <c r="K25" s="43"/>
      <c r="L25" s="43"/>
      <c r="M25" s="43"/>
      <c r="N25" s="43"/>
      <c r="O25" s="43"/>
    </row>
    <row r="26" spans="1:15" ht="14.25">
      <c r="A26" s="46"/>
      <c r="B26" s="59"/>
      <c r="C26" s="63"/>
      <c r="D26" s="59"/>
      <c r="E26" s="59"/>
      <c r="F26" s="59"/>
      <c r="G26" s="59"/>
      <c r="H26" s="59"/>
      <c r="I26" s="43"/>
      <c r="J26" s="43"/>
      <c r="K26" s="43"/>
      <c r="L26" s="43"/>
      <c r="M26" s="43"/>
      <c r="N26" s="43"/>
      <c r="O26" s="43"/>
    </row>
    <row r="27" spans="1:15" ht="14.25">
      <c r="A27" s="42" t="s">
        <v>13</v>
      </c>
      <c r="B27" s="42"/>
      <c r="C27" s="42"/>
      <c r="D27" s="42"/>
      <c r="E27" s="42"/>
      <c r="F27" s="42"/>
      <c r="G27" s="42"/>
      <c r="H27" s="42"/>
      <c r="I27" s="43"/>
      <c r="J27" s="42"/>
      <c r="K27" s="43"/>
      <c r="L27" s="43"/>
      <c r="M27" s="43"/>
      <c r="N27" s="43"/>
      <c r="O27" s="43"/>
    </row>
    <row r="28" spans="1:15" ht="14.25">
      <c r="A28" s="43"/>
      <c r="B28" s="150" t="s">
        <v>0</v>
      </c>
      <c r="C28" s="150"/>
      <c r="D28" s="150"/>
      <c r="E28" s="150"/>
      <c r="F28" s="43"/>
      <c r="G28" s="150" t="s">
        <v>24</v>
      </c>
      <c r="H28" s="150"/>
      <c r="I28" s="150"/>
      <c r="J28" s="43"/>
      <c r="K28" s="43"/>
      <c r="L28" s="43"/>
      <c r="M28" s="43"/>
      <c r="N28" s="43"/>
      <c r="O28" s="43"/>
    </row>
    <row r="29" spans="1:15" ht="14.25">
      <c r="A29" s="43" t="s">
        <v>84</v>
      </c>
      <c r="B29" s="45" t="s">
        <v>36</v>
      </c>
      <c r="C29" s="47"/>
      <c r="D29" s="47"/>
      <c r="E29" s="47"/>
      <c r="F29" s="47"/>
      <c r="G29" s="47"/>
      <c r="H29" s="47"/>
      <c r="I29" s="47"/>
      <c r="J29" s="45" t="s">
        <v>34</v>
      </c>
      <c r="K29" s="43"/>
      <c r="L29" s="43"/>
      <c r="M29" s="43"/>
      <c r="N29" s="43"/>
      <c r="O29" s="43"/>
    </row>
    <row r="30" spans="1:15" ht="14.25">
      <c r="A30" s="48" t="s">
        <v>85</v>
      </c>
      <c r="B30" s="50" t="s">
        <v>33</v>
      </c>
      <c r="C30" s="50" t="s">
        <v>1</v>
      </c>
      <c r="D30" s="52" t="s">
        <v>37</v>
      </c>
      <c r="E30" s="50" t="s">
        <v>38</v>
      </c>
      <c r="F30" s="51"/>
      <c r="G30" s="50" t="s">
        <v>35</v>
      </c>
      <c r="H30" s="50" t="s">
        <v>4</v>
      </c>
      <c r="I30" s="50" t="s">
        <v>32</v>
      </c>
      <c r="J30" s="50" t="s">
        <v>97</v>
      </c>
      <c r="K30" s="43"/>
      <c r="L30" s="43"/>
      <c r="M30" s="43"/>
      <c r="N30" s="43"/>
      <c r="O30" s="43"/>
    </row>
    <row r="31" spans="1:15" ht="14.25">
      <c r="A31" s="43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43"/>
      <c r="L31" s="43"/>
      <c r="M31" s="43"/>
      <c r="N31" s="43"/>
      <c r="O31" s="43"/>
    </row>
    <row r="32" spans="1:15" ht="14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6.5">
      <c r="A33" s="43" t="s">
        <v>129</v>
      </c>
      <c r="B33" s="98">
        <v>41.547</v>
      </c>
      <c r="C33" s="99">
        <v>541.625</v>
      </c>
      <c r="D33" s="98">
        <v>0.121953075174</v>
      </c>
      <c r="E33" s="106">
        <f>+B33+D33+C33</f>
        <v>583.293953075174</v>
      </c>
      <c r="F33" s="43"/>
      <c r="G33" s="99">
        <f>+I33-H33</f>
        <v>435.17942153772003</v>
      </c>
      <c r="H33" s="99">
        <v>103.98553153745401</v>
      </c>
      <c r="I33" s="99">
        <f>+E33-J33</f>
        <v>539.164953075174</v>
      </c>
      <c r="J33" s="107">
        <v>44.129</v>
      </c>
      <c r="K33" s="43"/>
      <c r="L33" s="43"/>
      <c r="M33" s="43"/>
      <c r="N33" s="43"/>
      <c r="O33" s="43"/>
    </row>
    <row r="34" spans="1:15" ht="16.5">
      <c r="A34" s="43" t="s">
        <v>130</v>
      </c>
      <c r="B34" s="98">
        <f>+J33</f>
        <v>44.129</v>
      </c>
      <c r="C34" s="99">
        <v>555</v>
      </c>
      <c r="D34" s="98">
        <v>5</v>
      </c>
      <c r="E34" s="106">
        <f>+B34+D34+C34</f>
        <v>604.129</v>
      </c>
      <c r="F34" s="43"/>
      <c r="G34" s="99">
        <f>+I34-H34</f>
        <v>444.129</v>
      </c>
      <c r="H34" s="99">
        <v>110</v>
      </c>
      <c r="I34" s="99">
        <f>+E34-J34</f>
        <v>554.129</v>
      </c>
      <c r="J34" s="107">
        <v>50</v>
      </c>
      <c r="K34" s="43"/>
      <c r="L34" s="43"/>
      <c r="M34" s="43"/>
      <c r="N34" s="43"/>
      <c r="O34" s="43"/>
    </row>
    <row r="35" spans="1:15" ht="16.5">
      <c r="A35" s="42" t="s">
        <v>172</v>
      </c>
      <c r="B35" s="101">
        <f>+J34</f>
        <v>50</v>
      </c>
      <c r="C35" s="103">
        <v>590</v>
      </c>
      <c r="D35" s="101">
        <v>5</v>
      </c>
      <c r="E35" s="108">
        <f>+B35+D35+C35</f>
        <v>645</v>
      </c>
      <c r="F35" s="102"/>
      <c r="G35" s="103">
        <f>+I35-H35</f>
        <v>495</v>
      </c>
      <c r="H35" s="103">
        <v>100</v>
      </c>
      <c r="I35" s="103">
        <f>+E35-J35</f>
        <v>595</v>
      </c>
      <c r="J35" s="103">
        <v>50</v>
      </c>
      <c r="K35" s="43"/>
      <c r="L35" s="43"/>
      <c r="M35" s="43"/>
      <c r="N35" s="43"/>
      <c r="O35" s="43"/>
    </row>
    <row r="36" spans="1:15" ht="16.5">
      <c r="A36" s="89" t="s">
        <v>136</v>
      </c>
      <c r="B36" s="43"/>
      <c r="C36" s="58"/>
      <c r="D36" s="58"/>
      <c r="E36" s="58"/>
      <c r="F36" s="58"/>
      <c r="G36" s="58"/>
      <c r="H36" s="58"/>
      <c r="I36" s="43"/>
      <c r="J36" s="43"/>
      <c r="K36" s="43"/>
      <c r="L36" s="43"/>
      <c r="M36" s="43"/>
      <c r="N36" s="43"/>
      <c r="O36" s="43"/>
    </row>
    <row r="37" spans="1:15" ht="14.25">
      <c r="A37" s="43" t="s">
        <v>140</v>
      </c>
      <c r="B37" s="59"/>
      <c r="C37" s="63"/>
      <c r="D37" s="59"/>
      <c r="E37" s="59"/>
      <c r="F37" s="59"/>
      <c r="G37" s="59"/>
      <c r="H37" s="59"/>
      <c r="I37" s="43"/>
      <c r="J37" s="43"/>
      <c r="K37" s="43"/>
      <c r="L37" s="43"/>
      <c r="M37" s="43"/>
      <c r="N37" s="43"/>
      <c r="O37" s="43"/>
    </row>
    <row r="38" spans="1:15" ht="14.25">
      <c r="A38" s="46"/>
      <c r="B38" s="46"/>
      <c r="C38" s="46"/>
      <c r="D38" s="46"/>
      <c r="E38" s="46"/>
      <c r="F38" s="46"/>
      <c r="G38" s="46"/>
      <c r="H38" s="46"/>
      <c r="I38" s="43"/>
      <c r="J38" s="43"/>
      <c r="K38" s="43"/>
      <c r="L38" s="43"/>
      <c r="M38" s="43"/>
      <c r="N38" s="43"/>
      <c r="O38" s="43"/>
    </row>
    <row r="39" spans="1:15" ht="14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4.25">
      <c r="A40" s="42" t="s">
        <v>14</v>
      </c>
      <c r="B40" s="42"/>
      <c r="C40" s="42"/>
      <c r="D40" s="42"/>
      <c r="E40" s="42"/>
      <c r="F40" s="42"/>
      <c r="G40" s="42"/>
      <c r="H40" s="42"/>
      <c r="I40" s="42"/>
      <c r="J40" s="43"/>
      <c r="K40" s="43"/>
      <c r="L40" s="43"/>
      <c r="M40" s="43"/>
      <c r="N40" s="43"/>
      <c r="O40" s="42"/>
    </row>
    <row r="41" spans="1:15" ht="14.25">
      <c r="A41" s="43"/>
      <c r="B41" s="150" t="s">
        <v>27</v>
      </c>
      <c r="C41" s="150"/>
      <c r="D41" s="45" t="s">
        <v>30</v>
      </c>
      <c r="E41" s="150" t="s">
        <v>92</v>
      </c>
      <c r="F41" s="150"/>
      <c r="G41" s="150"/>
      <c r="H41" s="150"/>
      <c r="I41" s="43"/>
      <c r="J41" s="150" t="s">
        <v>24</v>
      </c>
      <c r="K41" s="150"/>
      <c r="L41" s="150"/>
      <c r="M41" s="150"/>
      <c r="N41" s="150"/>
      <c r="O41" s="43"/>
    </row>
    <row r="42" spans="1:15" ht="14.25">
      <c r="A42" s="43" t="s">
        <v>84</v>
      </c>
      <c r="B42" s="45" t="s">
        <v>28</v>
      </c>
      <c r="C42" s="45" t="s">
        <v>29</v>
      </c>
      <c r="D42" s="43"/>
      <c r="E42" s="45" t="s">
        <v>36</v>
      </c>
      <c r="F42" s="45"/>
      <c r="G42" s="45"/>
      <c r="H42" s="45"/>
      <c r="I42" s="43"/>
      <c r="J42" s="45" t="s">
        <v>9</v>
      </c>
      <c r="K42" s="45"/>
      <c r="L42" s="45" t="s">
        <v>100</v>
      </c>
      <c r="M42" s="45"/>
      <c r="N42" s="45"/>
      <c r="O42" s="45" t="s">
        <v>34</v>
      </c>
    </row>
    <row r="43" spans="1:15" ht="14.25">
      <c r="A43" s="48" t="s">
        <v>86</v>
      </c>
      <c r="B43" s="49"/>
      <c r="C43" s="49"/>
      <c r="D43" s="49"/>
      <c r="E43" s="50" t="s">
        <v>33</v>
      </c>
      <c r="F43" s="50" t="s">
        <v>1</v>
      </c>
      <c r="G43" s="50" t="s">
        <v>37</v>
      </c>
      <c r="H43" s="50" t="s">
        <v>38</v>
      </c>
      <c r="I43" s="50"/>
      <c r="J43" s="50" t="s">
        <v>42</v>
      </c>
      <c r="K43" s="50" t="s">
        <v>40</v>
      </c>
      <c r="L43" s="50" t="s">
        <v>5</v>
      </c>
      <c r="M43" s="52" t="s">
        <v>4</v>
      </c>
      <c r="N43" s="50" t="s">
        <v>32</v>
      </c>
      <c r="O43" s="50" t="s">
        <v>97</v>
      </c>
    </row>
    <row r="44" spans="1:15" ht="14.25">
      <c r="A44" s="43"/>
      <c r="B44" s="148" t="s">
        <v>94</v>
      </c>
      <c r="C44" s="149"/>
      <c r="D44" s="109" t="s">
        <v>79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43"/>
      <c r="B45" s="45"/>
      <c r="C45" s="45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</row>
    <row r="46" spans="1:15" ht="16.5">
      <c r="A46" s="43" t="s">
        <v>129</v>
      </c>
      <c r="B46" s="97">
        <v>1671</v>
      </c>
      <c r="C46" s="97">
        <v>1536</v>
      </c>
      <c r="D46" s="97">
        <f>F46*1000/C46</f>
        <v>3633.8346354166665</v>
      </c>
      <c r="E46" s="97">
        <v>1790.905</v>
      </c>
      <c r="F46" s="97">
        <v>5581.57</v>
      </c>
      <c r="G46" s="107">
        <f>1.333*2.204622*55.0974</f>
        <v>161.91809726367242</v>
      </c>
      <c r="H46" s="97">
        <f>+E46+G46+F46</f>
        <v>7534.393097263672</v>
      </c>
      <c r="I46" s="97"/>
      <c r="J46" s="97">
        <v>3092</v>
      </c>
      <c r="K46" s="97">
        <f>1.333*659.966</f>
        <v>879.734678</v>
      </c>
      <c r="L46" s="99">
        <f>+N46-J46-K46-M46</f>
        <v>793.6284192636713</v>
      </c>
      <c r="M46" s="99">
        <v>1327.438</v>
      </c>
      <c r="N46" s="97">
        <f>+H46-O46</f>
        <v>6092.801097263671</v>
      </c>
      <c r="O46" s="97">
        <v>1441.592</v>
      </c>
    </row>
    <row r="47" spans="1:15" ht="16.5">
      <c r="A47" s="43" t="s">
        <v>130</v>
      </c>
      <c r="B47" s="97">
        <v>1870.6</v>
      </c>
      <c r="C47" s="97">
        <v>1775.6</v>
      </c>
      <c r="D47" s="97">
        <f>F47*1000/C47</f>
        <v>4073.8905158819557</v>
      </c>
      <c r="E47" s="97">
        <f>O46</f>
        <v>1441.592</v>
      </c>
      <c r="F47" s="97">
        <v>7233.6</v>
      </c>
      <c r="G47" s="107">
        <v>170</v>
      </c>
      <c r="H47" s="97">
        <f>+E47+G47+F47</f>
        <v>8845.192000000001</v>
      </c>
      <c r="I47" s="97"/>
      <c r="J47" s="97">
        <v>3172</v>
      </c>
      <c r="K47" s="97">
        <v>740</v>
      </c>
      <c r="L47" s="99">
        <f>+N47-J47-K47-M47</f>
        <v>911.1920000000009</v>
      </c>
      <c r="M47" s="99">
        <v>1300</v>
      </c>
      <c r="N47" s="97">
        <f>+H47-O47</f>
        <v>6123.192000000001</v>
      </c>
      <c r="O47" s="97">
        <v>2722</v>
      </c>
    </row>
    <row r="48" spans="1:15" ht="16.5">
      <c r="A48" s="42" t="s">
        <v>172</v>
      </c>
      <c r="B48" s="100">
        <v>1502</v>
      </c>
      <c r="C48" s="100">
        <v>1461</v>
      </c>
      <c r="D48" s="100">
        <f>F48*1000/C48</f>
        <v>4151.266255989049</v>
      </c>
      <c r="E48" s="100">
        <f>O47</f>
        <v>2722</v>
      </c>
      <c r="F48" s="100">
        <v>6065</v>
      </c>
      <c r="G48" s="103">
        <v>75</v>
      </c>
      <c r="H48" s="100">
        <f>+E48+G48+F48</f>
        <v>8862</v>
      </c>
      <c r="I48" s="100"/>
      <c r="J48" s="100">
        <v>3237</v>
      </c>
      <c r="K48" s="100">
        <v>849</v>
      </c>
      <c r="L48" s="103">
        <f>+N48-J48-K48-M48</f>
        <v>787</v>
      </c>
      <c r="M48" s="103">
        <v>1200</v>
      </c>
      <c r="N48" s="100">
        <f>+H48-O48</f>
        <v>6073</v>
      </c>
      <c r="O48" s="100">
        <v>2789</v>
      </c>
    </row>
    <row r="49" spans="1:15" ht="16.5">
      <c r="A49" s="89" t="s">
        <v>136</v>
      </c>
      <c r="B49" s="43"/>
      <c r="C49" s="58"/>
      <c r="D49" s="58"/>
      <c r="E49" s="58"/>
      <c r="F49" s="58"/>
      <c r="G49" s="58"/>
      <c r="H49" s="58"/>
      <c r="I49" s="43"/>
      <c r="J49" s="43"/>
      <c r="K49" s="43"/>
      <c r="L49" s="43"/>
      <c r="M49" s="43"/>
      <c r="N49" s="43"/>
      <c r="O49" s="43"/>
    </row>
    <row r="50" spans="1:15" ht="14.25">
      <c r="A50" s="43" t="s">
        <v>141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ht="14.25">
      <c r="A51" s="43" t="s">
        <v>138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ht="14.25">
      <c r="A52" s="43" t="s">
        <v>26</v>
      </c>
      <c r="B52" s="110">
        <f ca="1">NOW()</f>
        <v>43297.368709490744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42" t="s">
        <v>51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15" customHeight="1">
      <c r="A2" s="46" t="s">
        <v>15</v>
      </c>
      <c r="B2" s="90" t="s">
        <v>142</v>
      </c>
      <c r="C2" s="90" t="s">
        <v>143</v>
      </c>
      <c r="D2" s="90" t="s">
        <v>144</v>
      </c>
      <c r="E2" s="90" t="s">
        <v>145</v>
      </c>
      <c r="F2" s="90" t="s">
        <v>146</v>
      </c>
      <c r="G2" s="90" t="s">
        <v>147</v>
      </c>
      <c r="H2" s="1"/>
      <c r="I2" s="1"/>
      <c r="J2" s="1"/>
      <c r="K2" s="1"/>
    </row>
    <row r="3" spans="1:11" ht="15" customHeight="1">
      <c r="A3" s="42" t="s">
        <v>16</v>
      </c>
      <c r="B3" s="51"/>
      <c r="C3" s="111"/>
      <c r="D3" s="111"/>
      <c r="E3" s="111"/>
      <c r="F3" s="111"/>
      <c r="G3" s="111"/>
      <c r="H3" s="1"/>
      <c r="I3" s="1"/>
      <c r="J3" s="1"/>
      <c r="K3" s="2"/>
    </row>
    <row r="4" spans="1:11" ht="14.25">
      <c r="A4" s="112"/>
      <c r="B4" s="113" t="s">
        <v>77</v>
      </c>
      <c r="C4" s="113" t="s">
        <v>87</v>
      </c>
      <c r="D4" s="113" t="s">
        <v>107</v>
      </c>
      <c r="E4" s="113" t="s">
        <v>50</v>
      </c>
      <c r="F4" s="113" t="s">
        <v>76</v>
      </c>
      <c r="G4" s="113" t="s">
        <v>77</v>
      </c>
      <c r="H4" s="1"/>
      <c r="I4" s="2"/>
      <c r="J4" s="2"/>
      <c r="K4" s="2"/>
    </row>
    <row r="5" spans="1:11" ht="14.25">
      <c r="A5" s="43"/>
      <c r="B5" s="43"/>
      <c r="C5" s="43"/>
      <c r="D5" s="45"/>
      <c r="E5" s="43"/>
      <c r="F5" s="43"/>
      <c r="G5" s="43"/>
      <c r="H5" s="1"/>
      <c r="I5" s="1"/>
      <c r="J5" s="1"/>
      <c r="K5" s="1"/>
    </row>
    <row r="6" spans="1:11" ht="14.25">
      <c r="A6" s="43" t="s">
        <v>53</v>
      </c>
      <c r="B6" s="114">
        <v>9.97</v>
      </c>
      <c r="C6" s="114">
        <v>223</v>
      </c>
      <c r="D6" s="114">
        <v>21.8</v>
      </c>
      <c r="E6" s="114">
        <v>18.7</v>
      </c>
      <c r="F6" s="114">
        <v>23</v>
      </c>
      <c r="G6" s="114">
        <v>12.7</v>
      </c>
      <c r="H6" s="1"/>
      <c r="I6" s="3"/>
      <c r="J6" s="3"/>
      <c r="K6" s="3"/>
    </row>
    <row r="7" spans="1:11" ht="14.25">
      <c r="A7" s="43" t="s">
        <v>55</v>
      </c>
      <c r="B7" s="114">
        <v>9.59</v>
      </c>
      <c r="C7" s="114">
        <v>158</v>
      </c>
      <c r="D7" s="114">
        <v>15.1</v>
      </c>
      <c r="E7" s="114">
        <v>16.2</v>
      </c>
      <c r="F7" s="114">
        <v>21.7</v>
      </c>
      <c r="G7" s="114">
        <v>8.15</v>
      </c>
      <c r="H7" s="1"/>
      <c r="I7" s="3"/>
      <c r="J7" s="3"/>
      <c r="K7" s="3"/>
    </row>
    <row r="8" spans="1:11" ht="14.25">
      <c r="A8" s="43" t="s">
        <v>56</v>
      </c>
      <c r="B8" s="114">
        <v>11.3</v>
      </c>
      <c r="C8" s="114">
        <v>161</v>
      </c>
      <c r="D8" s="114">
        <v>23.3</v>
      </c>
      <c r="E8" s="114">
        <v>19.3</v>
      </c>
      <c r="F8" s="114">
        <v>22.5</v>
      </c>
      <c r="G8" s="114">
        <v>12.2</v>
      </c>
      <c r="H8" s="1"/>
      <c r="I8" s="3"/>
      <c r="J8" s="3"/>
      <c r="K8" s="3"/>
    </row>
    <row r="9" spans="1:11" ht="14.25">
      <c r="A9" s="43" t="s">
        <v>67</v>
      </c>
      <c r="B9" s="114">
        <v>12.5</v>
      </c>
      <c r="C9" s="114">
        <v>260</v>
      </c>
      <c r="D9" s="114">
        <v>29.1</v>
      </c>
      <c r="E9" s="114">
        <v>24</v>
      </c>
      <c r="F9" s="114">
        <v>31.8</v>
      </c>
      <c r="G9" s="114">
        <v>13.9</v>
      </c>
      <c r="H9" s="1"/>
      <c r="I9" s="3"/>
      <c r="J9" s="3"/>
      <c r="K9" s="3"/>
    </row>
    <row r="10" spans="1:11" ht="14.25">
      <c r="A10" s="43" t="s">
        <v>91</v>
      </c>
      <c r="B10" s="114">
        <v>14.4</v>
      </c>
      <c r="C10" s="114">
        <v>252</v>
      </c>
      <c r="D10" s="114">
        <v>25.4</v>
      </c>
      <c r="E10" s="114">
        <v>26.5</v>
      </c>
      <c r="F10" s="114">
        <v>30.1</v>
      </c>
      <c r="G10" s="114">
        <v>13.8</v>
      </c>
      <c r="H10" s="1"/>
      <c r="I10" s="3"/>
      <c r="J10" s="3"/>
      <c r="K10" s="3"/>
    </row>
    <row r="11" spans="1:11" ht="14.25">
      <c r="A11" s="43" t="s">
        <v>99</v>
      </c>
      <c r="B11" s="114">
        <v>13</v>
      </c>
      <c r="C11" s="114">
        <v>246</v>
      </c>
      <c r="D11" s="114">
        <v>21.4</v>
      </c>
      <c r="E11" s="114">
        <v>20.6</v>
      </c>
      <c r="F11" s="114">
        <v>24.9</v>
      </c>
      <c r="G11" s="114">
        <v>13.8</v>
      </c>
      <c r="H11" s="1"/>
      <c r="I11" s="3"/>
      <c r="J11" s="3"/>
      <c r="K11" s="3"/>
    </row>
    <row r="12" spans="1:11" ht="14.25">
      <c r="A12" s="43" t="s">
        <v>102</v>
      </c>
      <c r="B12" s="114">
        <v>10.1</v>
      </c>
      <c r="C12" s="114">
        <v>194</v>
      </c>
      <c r="D12" s="114">
        <v>21.7</v>
      </c>
      <c r="E12" s="114">
        <v>16.9</v>
      </c>
      <c r="F12" s="114">
        <v>22</v>
      </c>
      <c r="G12" s="114">
        <v>11.8</v>
      </c>
      <c r="H12" s="1"/>
      <c r="I12" s="3"/>
      <c r="J12" s="3"/>
      <c r="K12" s="3"/>
    </row>
    <row r="13" spans="1:11" ht="14.25">
      <c r="A13" s="43" t="s">
        <v>103</v>
      </c>
      <c r="B13" s="114">
        <v>8.95</v>
      </c>
      <c r="C13" s="114">
        <v>227</v>
      </c>
      <c r="D13" s="114">
        <v>19.6</v>
      </c>
      <c r="E13" s="114">
        <v>15.6</v>
      </c>
      <c r="F13" s="114">
        <v>19.3</v>
      </c>
      <c r="G13" s="114">
        <v>8.95</v>
      </c>
      <c r="H13" s="1"/>
      <c r="I13" s="3"/>
      <c r="J13" s="3"/>
      <c r="K13" s="3"/>
    </row>
    <row r="14" spans="1:11" ht="14.25">
      <c r="A14" s="43" t="s">
        <v>120</v>
      </c>
      <c r="B14" s="114">
        <v>9.47</v>
      </c>
      <c r="C14" s="114">
        <v>195</v>
      </c>
      <c r="D14" s="114">
        <v>17.4</v>
      </c>
      <c r="E14" s="114">
        <v>16.6</v>
      </c>
      <c r="F14" s="114">
        <v>19.7</v>
      </c>
      <c r="G14" s="114">
        <v>8</v>
      </c>
      <c r="H14" s="1"/>
      <c r="I14" s="3"/>
      <c r="J14" s="3"/>
      <c r="K14" s="3"/>
    </row>
    <row r="15" spans="1:11" ht="16.5">
      <c r="A15" s="43" t="s">
        <v>148</v>
      </c>
      <c r="B15" s="114">
        <v>9.35</v>
      </c>
      <c r="C15" s="114">
        <v>139</v>
      </c>
      <c r="D15" s="114">
        <v>17.5</v>
      </c>
      <c r="E15" s="114">
        <v>17.5</v>
      </c>
      <c r="F15" s="114">
        <v>23.25</v>
      </c>
      <c r="G15" s="114">
        <v>9.5</v>
      </c>
      <c r="H15" s="1"/>
      <c r="I15" s="3"/>
      <c r="J15" s="3"/>
      <c r="K15" s="3"/>
    </row>
    <row r="16" spans="1:11" ht="16.5">
      <c r="A16" s="43" t="s">
        <v>171</v>
      </c>
      <c r="B16" s="115" t="s">
        <v>188</v>
      </c>
      <c r="C16" s="114" t="s">
        <v>200</v>
      </c>
      <c r="D16" s="115" t="s">
        <v>201</v>
      </c>
      <c r="E16" s="115" t="s">
        <v>199</v>
      </c>
      <c r="F16" s="115" t="s">
        <v>174</v>
      </c>
      <c r="G16" s="115" t="s">
        <v>173</v>
      </c>
      <c r="H16" s="1"/>
      <c r="I16" s="3"/>
      <c r="J16" s="3"/>
      <c r="K16" s="3"/>
    </row>
    <row r="17" spans="1:11" ht="14.25">
      <c r="A17" s="46"/>
      <c r="B17" s="116"/>
      <c r="C17" s="117"/>
      <c r="D17" s="118"/>
      <c r="E17" s="115"/>
      <c r="F17" s="115"/>
      <c r="G17" s="119"/>
      <c r="H17" s="3"/>
      <c r="I17" s="3"/>
      <c r="J17" s="3"/>
      <c r="K17" s="3"/>
    </row>
    <row r="18" spans="1:8" ht="14.25">
      <c r="A18" s="70" t="s">
        <v>120</v>
      </c>
      <c r="B18" s="114"/>
      <c r="C18" s="114"/>
      <c r="D18" s="114"/>
      <c r="E18" s="114"/>
      <c r="F18" s="114"/>
      <c r="G18" s="114"/>
      <c r="H18" s="1"/>
    </row>
    <row r="19" spans="1:8" ht="14.25">
      <c r="A19" s="43" t="s">
        <v>71</v>
      </c>
      <c r="B19" s="114">
        <v>9.41</v>
      </c>
      <c r="C19" s="114">
        <v>180</v>
      </c>
      <c r="D19" s="114">
        <v>17.9</v>
      </c>
      <c r="E19" s="114">
        <v>15.5</v>
      </c>
      <c r="F19" s="114">
        <v>19.1</v>
      </c>
      <c r="G19" s="114">
        <v>7.61</v>
      </c>
      <c r="H19" s="1"/>
    </row>
    <row r="20" spans="1:8" ht="14.25">
      <c r="A20" s="43" t="s">
        <v>58</v>
      </c>
      <c r="B20" s="114">
        <v>9.3</v>
      </c>
      <c r="C20" s="114">
        <v>197</v>
      </c>
      <c r="D20" s="114">
        <v>17</v>
      </c>
      <c r="E20" s="114">
        <v>15.8</v>
      </c>
      <c r="F20" s="114">
        <v>19.5</v>
      </c>
      <c r="G20" s="114">
        <v>7.37</v>
      </c>
      <c r="H20" s="1"/>
    </row>
    <row r="21" spans="1:8" ht="14.25">
      <c r="A21" s="43" t="s">
        <v>59</v>
      </c>
      <c r="B21" s="114">
        <v>9.47</v>
      </c>
      <c r="C21" s="114">
        <v>195</v>
      </c>
      <c r="D21" s="114">
        <v>16.4</v>
      </c>
      <c r="E21" s="114">
        <v>16.2</v>
      </c>
      <c r="F21" s="114">
        <v>19</v>
      </c>
      <c r="G21" s="114">
        <v>7.36</v>
      </c>
      <c r="H21" s="1"/>
    </row>
    <row r="22" spans="1:8" ht="14.25">
      <c r="A22" s="43" t="s">
        <v>60</v>
      </c>
      <c r="B22" s="114">
        <v>9.64</v>
      </c>
      <c r="C22" s="114">
        <v>196</v>
      </c>
      <c r="D22" s="114">
        <v>17.2</v>
      </c>
      <c r="E22" s="114">
        <v>17.1</v>
      </c>
      <c r="F22" s="114">
        <v>18.6</v>
      </c>
      <c r="G22" s="114">
        <v>7.59</v>
      </c>
      <c r="H22" s="1"/>
    </row>
    <row r="23" spans="1:8" ht="14.25">
      <c r="A23" s="43" t="s">
        <v>61</v>
      </c>
      <c r="B23" s="114">
        <v>9.71</v>
      </c>
      <c r="C23" s="114">
        <v>199</v>
      </c>
      <c r="D23" s="114">
        <v>17.2</v>
      </c>
      <c r="E23" s="114">
        <v>17.3</v>
      </c>
      <c r="F23" s="114">
        <v>19.8</v>
      </c>
      <c r="G23" s="114">
        <v>8.26</v>
      </c>
      <c r="H23" s="1"/>
    </row>
    <row r="24" spans="1:8" ht="14.25">
      <c r="A24" s="43" t="s">
        <v>62</v>
      </c>
      <c r="B24" s="114">
        <v>9.86</v>
      </c>
      <c r="C24" s="114">
        <v>203</v>
      </c>
      <c r="D24" s="114">
        <v>17.6</v>
      </c>
      <c r="E24" s="114">
        <v>17.4</v>
      </c>
      <c r="F24" s="114">
        <v>20.1</v>
      </c>
      <c r="G24" s="114">
        <v>7.86</v>
      </c>
      <c r="H24" s="1"/>
    </row>
    <row r="25" spans="1:8" ht="14.25">
      <c r="A25" s="43" t="s">
        <v>63</v>
      </c>
      <c r="B25" s="114">
        <v>9.69</v>
      </c>
      <c r="C25" s="114" t="s">
        <v>10</v>
      </c>
      <c r="D25" s="114">
        <v>17.4</v>
      </c>
      <c r="E25" s="114">
        <v>17.6</v>
      </c>
      <c r="F25" s="114">
        <v>20.6</v>
      </c>
      <c r="G25" s="114">
        <v>8.34</v>
      </c>
      <c r="H25" s="1"/>
    </row>
    <row r="26" spans="1:8" ht="14.25">
      <c r="A26" s="43" t="s">
        <v>64</v>
      </c>
      <c r="B26" s="114">
        <v>9.33</v>
      </c>
      <c r="C26" s="114" t="s">
        <v>10</v>
      </c>
      <c r="D26" s="114">
        <v>17.9</v>
      </c>
      <c r="E26" s="114">
        <v>18</v>
      </c>
      <c r="F26" s="114">
        <v>19.8</v>
      </c>
      <c r="G26" s="114">
        <v>8.03</v>
      </c>
      <c r="H26" s="1"/>
    </row>
    <row r="27" spans="1:8" ht="14.25">
      <c r="A27" s="43" t="s">
        <v>65</v>
      </c>
      <c r="B27" s="114">
        <v>9.29</v>
      </c>
      <c r="C27" s="114" t="s">
        <v>10</v>
      </c>
      <c r="D27" s="114">
        <v>17.3</v>
      </c>
      <c r="E27" s="114">
        <v>16.8</v>
      </c>
      <c r="F27" s="114">
        <v>19.4</v>
      </c>
      <c r="G27" s="114">
        <v>8.96</v>
      </c>
      <c r="H27" s="1"/>
    </row>
    <row r="28" spans="1:8" ht="14.25">
      <c r="A28" s="43" t="s">
        <v>66</v>
      </c>
      <c r="B28" s="114">
        <v>9.1</v>
      </c>
      <c r="C28" s="114" t="s">
        <v>10</v>
      </c>
      <c r="D28" s="114">
        <v>17.6</v>
      </c>
      <c r="E28" s="114">
        <v>17.4</v>
      </c>
      <c r="F28" s="114">
        <v>19.7</v>
      </c>
      <c r="G28" s="114">
        <v>8.52</v>
      </c>
      <c r="H28" s="1"/>
    </row>
    <row r="29" spans="1:8" ht="14.25">
      <c r="A29" s="43" t="s">
        <v>68</v>
      </c>
      <c r="B29" s="114">
        <v>9.42</v>
      </c>
      <c r="C29" s="114" t="s">
        <v>10</v>
      </c>
      <c r="D29" s="114">
        <v>17.9</v>
      </c>
      <c r="E29" s="114">
        <v>17.8</v>
      </c>
      <c r="F29" s="114">
        <v>20.5</v>
      </c>
      <c r="G29" s="114">
        <v>8.4</v>
      </c>
      <c r="H29" s="1"/>
    </row>
    <row r="30" spans="1:8" ht="14.25">
      <c r="A30" s="43" t="s">
        <v>69</v>
      </c>
      <c r="B30" s="114">
        <v>9.24</v>
      </c>
      <c r="C30" s="114">
        <v>127</v>
      </c>
      <c r="D30" s="114">
        <v>19.1</v>
      </c>
      <c r="E30" s="114">
        <v>17.7</v>
      </c>
      <c r="F30" s="114">
        <v>19.8</v>
      </c>
      <c r="G30" s="114">
        <v>9.3</v>
      </c>
      <c r="H30" s="1"/>
    </row>
    <row r="31" spans="1:8" ht="14.25">
      <c r="A31" s="43"/>
      <c r="B31" s="114"/>
      <c r="C31" s="114"/>
      <c r="D31" s="114"/>
      <c r="E31" s="114"/>
      <c r="F31" s="114"/>
      <c r="G31" s="114"/>
      <c r="H31" s="1"/>
    </row>
    <row r="32" spans="1:8" ht="14.25">
      <c r="A32" s="70" t="s">
        <v>123</v>
      </c>
      <c r="B32" s="114"/>
      <c r="C32" s="114"/>
      <c r="D32" s="114"/>
      <c r="E32" s="114"/>
      <c r="F32" s="114"/>
      <c r="G32" s="114"/>
      <c r="H32" s="1"/>
    </row>
    <row r="33" spans="1:8" ht="14.25">
      <c r="A33" s="43" t="s">
        <v>71</v>
      </c>
      <c r="B33" s="114">
        <v>9.35</v>
      </c>
      <c r="C33" s="114">
        <v>124</v>
      </c>
      <c r="D33" s="114">
        <v>17.4</v>
      </c>
      <c r="E33" s="114">
        <v>17.3</v>
      </c>
      <c r="F33" s="114">
        <v>23</v>
      </c>
      <c r="G33" s="114">
        <v>9.55</v>
      </c>
      <c r="H33" s="1"/>
    </row>
    <row r="34" spans="1:8" ht="14.25">
      <c r="A34" s="43" t="s">
        <v>58</v>
      </c>
      <c r="B34" s="114">
        <v>9.18</v>
      </c>
      <c r="C34" s="114">
        <v>138</v>
      </c>
      <c r="D34" s="114">
        <v>16.8</v>
      </c>
      <c r="E34" s="114">
        <v>16.7</v>
      </c>
      <c r="F34" s="114">
        <v>23.7</v>
      </c>
      <c r="G34" s="114">
        <v>9.23</v>
      </c>
      <c r="H34" s="1"/>
    </row>
    <row r="35" spans="1:8" ht="14.25">
      <c r="A35" s="43" t="s">
        <v>59</v>
      </c>
      <c r="B35" s="114">
        <v>9.22</v>
      </c>
      <c r="C35" s="114">
        <v>144</v>
      </c>
      <c r="D35" s="114">
        <v>16.6</v>
      </c>
      <c r="E35" s="114">
        <v>17.2</v>
      </c>
      <c r="F35" s="114">
        <v>23.2</v>
      </c>
      <c r="G35" s="114">
        <v>9.21</v>
      </c>
      <c r="H35" s="1"/>
    </row>
    <row r="36" spans="1:8" ht="14.25">
      <c r="A36" s="43" t="s">
        <v>60</v>
      </c>
      <c r="B36" s="114">
        <v>9.3</v>
      </c>
      <c r="C36" s="114">
        <v>143</v>
      </c>
      <c r="D36" s="114">
        <v>17</v>
      </c>
      <c r="E36" s="114">
        <v>16.7</v>
      </c>
      <c r="F36" s="114">
        <v>24.1</v>
      </c>
      <c r="G36" s="114">
        <v>9.34</v>
      </c>
      <c r="H36" s="1"/>
    </row>
    <row r="37" spans="1:8" ht="14.25">
      <c r="A37" s="43" t="s">
        <v>61</v>
      </c>
      <c r="B37" s="114">
        <v>9.3</v>
      </c>
      <c r="C37" s="114">
        <v>139</v>
      </c>
      <c r="D37" s="114">
        <v>17.6</v>
      </c>
      <c r="E37" s="114">
        <v>17.7</v>
      </c>
      <c r="F37" s="114">
        <v>23.1</v>
      </c>
      <c r="G37" s="114">
        <v>9.39</v>
      </c>
      <c r="H37" s="1"/>
    </row>
    <row r="38" spans="1:8" ht="14.25">
      <c r="A38" s="43" t="s">
        <v>62</v>
      </c>
      <c r="B38" s="114">
        <v>9.49</v>
      </c>
      <c r="C38" s="114">
        <v>156</v>
      </c>
      <c r="D38" s="114">
        <v>17.7</v>
      </c>
      <c r="E38" s="114">
        <v>18.3</v>
      </c>
      <c r="F38" s="114">
        <v>22.6</v>
      </c>
      <c r="G38" s="114">
        <v>9.81</v>
      </c>
      <c r="H38" s="1"/>
    </row>
    <row r="39" spans="1:8" ht="14.25">
      <c r="A39" s="43" t="s">
        <v>63</v>
      </c>
      <c r="B39" s="114">
        <v>9.81</v>
      </c>
      <c r="C39" s="114" t="s">
        <v>10</v>
      </c>
      <c r="D39" s="114">
        <v>17.3</v>
      </c>
      <c r="E39" s="114">
        <v>18</v>
      </c>
      <c r="F39" s="114">
        <v>25.1</v>
      </c>
      <c r="G39" s="114">
        <v>9.76</v>
      </c>
      <c r="H39" s="1"/>
    </row>
    <row r="40" spans="1:8" ht="14.25">
      <c r="A40" s="43" t="s">
        <v>64</v>
      </c>
      <c r="B40" s="114">
        <v>9.83</v>
      </c>
      <c r="C40" s="114" t="s">
        <v>10</v>
      </c>
      <c r="D40" s="114">
        <v>18</v>
      </c>
      <c r="E40" s="114">
        <v>17.5</v>
      </c>
      <c r="F40" s="114">
        <v>23.9</v>
      </c>
      <c r="G40" s="114">
        <v>9.92</v>
      </c>
      <c r="H40" s="1"/>
    </row>
    <row r="41" spans="1:7" ht="14.25">
      <c r="A41" s="42" t="s">
        <v>65</v>
      </c>
      <c r="B41" s="120">
        <v>9.84</v>
      </c>
      <c r="C41" s="120" t="s">
        <v>10</v>
      </c>
      <c r="D41" s="120">
        <v>17.9</v>
      </c>
      <c r="E41" s="120">
        <v>18.5</v>
      </c>
      <c r="F41" s="120">
        <v>22.8</v>
      </c>
      <c r="G41" s="120">
        <v>10.1</v>
      </c>
    </row>
    <row r="42" spans="1:7" ht="16.5">
      <c r="A42" s="43" t="s">
        <v>149</v>
      </c>
      <c r="B42" s="43"/>
      <c r="C42" s="43"/>
      <c r="D42" s="43"/>
      <c r="E42" s="43"/>
      <c r="F42" s="43"/>
      <c r="G42" s="43"/>
    </row>
    <row r="43" spans="1:7" ht="14.25">
      <c r="A43" s="43" t="s">
        <v>57</v>
      </c>
      <c r="B43" s="121"/>
      <c r="C43" s="121" t="s">
        <v>108</v>
      </c>
      <c r="D43" s="121"/>
      <c r="E43" s="121"/>
      <c r="F43" s="121"/>
      <c r="G43" s="121"/>
    </row>
    <row r="44" spans="1:7" ht="14.25">
      <c r="A44" s="43" t="s">
        <v>150</v>
      </c>
      <c r="B44" s="43"/>
      <c r="C44" s="43"/>
      <c r="D44" s="43"/>
      <c r="E44" s="43"/>
      <c r="F44" s="43"/>
      <c r="G44" s="43"/>
    </row>
    <row r="45" spans="1:7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42" t="s">
        <v>22</v>
      </c>
      <c r="B1" s="42"/>
      <c r="C1" s="42"/>
      <c r="D1" s="42"/>
      <c r="E1" s="42"/>
      <c r="F1" s="42"/>
      <c r="G1" s="42"/>
      <c r="H1" s="42"/>
      <c r="I1" s="43"/>
    </row>
    <row r="2" spans="1:9" ht="15" customHeight="1">
      <c r="A2" s="122" t="s">
        <v>15</v>
      </c>
      <c r="B2" s="90" t="s">
        <v>44</v>
      </c>
      <c r="C2" s="90" t="s">
        <v>17</v>
      </c>
      <c r="D2" s="90" t="s">
        <v>89</v>
      </c>
      <c r="E2" s="123" t="s">
        <v>52</v>
      </c>
      <c r="F2" s="123" t="s">
        <v>45</v>
      </c>
      <c r="G2" s="90" t="s">
        <v>49</v>
      </c>
      <c r="H2" s="90" t="s">
        <v>151</v>
      </c>
      <c r="I2" s="124" t="s">
        <v>48</v>
      </c>
    </row>
    <row r="3" spans="1:9" ht="15" customHeight="1">
      <c r="A3" s="95" t="s">
        <v>16</v>
      </c>
      <c r="B3" s="50" t="s">
        <v>152</v>
      </c>
      <c r="C3" s="50" t="s">
        <v>153</v>
      </c>
      <c r="D3" s="50" t="s">
        <v>154</v>
      </c>
      <c r="E3" s="50" t="s">
        <v>154</v>
      </c>
      <c r="F3" s="50" t="s">
        <v>155</v>
      </c>
      <c r="G3" s="50" t="s">
        <v>156</v>
      </c>
      <c r="H3" s="50"/>
      <c r="I3" s="50" t="s">
        <v>157</v>
      </c>
    </row>
    <row r="4" spans="1:9" ht="14.25">
      <c r="A4" s="43"/>
      <c r="B4" s="62" t="s">
        <v>109</v>
      </c>
      <c r="C4" s="125"/>
      <c r="D4" s="125"/>
      <c r="E4" s="125"/>
      <c r="F4" s="125"/>
      <c r="G4" s="125"/>
      <c r="H4" s="125"/>
      <c r="I4" s="125"/>
    </row>
    <row r="5" spans="1:9" ht="14.25">
      <c r="A5" s="43"/>
      <c r="B5" s="43"/>
      <c r="C5" s="43"/>
      <c r="D5" s="43"/>
      <c r="E5" s="43"/>
      <c r="F5" s="43"/>
      <c r="G5" s="43"/>
      <c r="H5" s="43"/>
      <c r="I5" s="43"/>
    </row>
    <row r="6" spans="1:9" ht="14.25">
      <c r="A6" s="43" t="s">
        <v>53</v>
      </c>
      <c r="B6" s="114">
        <v>32.16</v>
      </c>
      <c r="C6" s="114">
        <v>37.1</v>
      </c>
      <c r="D6" s="114">
        <v>50.24</v>
      </c>
      <c r="E6" s="114">
        <v>39.54</v>
      </c>
      <c r="F6" s="114">
        <v>78.49</v>
      </c>
      <c r="G6" s="114">
        <v>32.75</v>
      </c>
      <c r="H6" s="114">
        <v>26.72</v>
      </c>
      <c r="I6" s="114">
        <v>25.47</v>
      </c>
    </row>
    <row r="7" spans="1:9" ht="14.25">
      <c r="A7" s="43" t="s">
        <v>55</v>
      </c>
      <c r="B7" s="114">
        <v>35.95</v>
      </c>
      <c r="C7" s="114">
        <v>40.27</v>
      </c>
      <c r="D7" s="114">
        <v>52.8</v>
      </c>
      <c r="E7" s="114">
        <v>42.88</v>
      </c>
      <c r="F7" s="114">
        <v>59.62</v>
      </c>
      <c r="G7" s="114">
        <v>39.29</v>
      </c>
      <c r="H7" s="114">
        <v>31.99</v>
      </c>
      <c r="I7" s="114">
        <v>32.26</v>
      </c>
    </row>
    <row r="8" spans="1:9" ht="14.25">
      <c r="A8" s="43" t="s">
        <v>56</v>
      </c>
      <c r="B8" s="114">
        <v>53.2</v>
      </c>
      <c r="C8" s="114">
        <v>54.5</v>
      </c>
      <c r="D8" s="114">
        <v>86.12</v>
      </c>
      <c r="E8" s="114">
        <v>58.68</v>
      </c>
      <c r="F8" s="114">
        <v>77.24</v>
      </c>
      <c r="G8" s="114">
        <v>60.76</v>
      </c>
      <c r="H8" s="114">
        <v>51.52</v>
      </c>
      <c r="I8" s="114">
        <v>51.34</v>
      </c>
    </row>
    <row r="9" spans="1:9" ht="14.25">
      <c r="A9" s="43" t="s">
        <v>67</v>
      </c>
      <c r="B9" s="114">
        <v>51.9</v>
      </c>
      <c r="C9" s="114">
        <v>53.22</v>
      </c>
      <c r="D9" s="114">
        <v>83.2</v>
      </c>
      <c r="E9" s="114">
        <v>57.19</v>
      </c>
      <c r="F9" s="114">
        <v>100.15</v>
      </c>
      <c r="G9" s="114">
        <v>56.09</v>
      </c>
      <c r="H9" s="114">
        <v>48.11</v>
      </c>
      <c r="I9" s="114">
        <v>50.33</v>
      </c>
    </row>
    <row r="10" spans="1:9" ht="14.25">
      <c r="A10" s="43" t="s">
        <v>91</v>
      </c>
      <c r="B10" s="114">
        <v>47.13</v>
      </c>
      <c r="C10" s="114">
        <v>48.6</v>
      </c>
      <c r="D10" s="114">
        <v>65.87</v>
      </c>
      <c r="E10" s="114">
        <v>56.17</v>
      </c>
      <c r="F10" s="114">
        <v>91.83</v>
      </c>
      <c r="G10" s="114">
        <v>46.66</v>
      </c>
      <c r="H10" s="114">
        <v>51.8</v>
      </c>
      <c r="I10" s="114">
        <v>43.24</v>
      </c>
    </row>
    <row r="11" spans="1:9" ht="14.25">
      <c r="A11" s="43" t="s">
        <v>99</v>
      </c>
      <c r="B11" s="114">
        <v>38.23</v>
      </c>
      <c r="C11" s="114">
        <v>60.66</v>
      </c>
      <c r="D11" s="114">
        <v>59.12</v>
      </c>
      <c r="E11" s="114">
        <v>43.7</v>
      </c>
      <c r="F11" s="114">
        <v>68.23</v>
      </c>
      <c r="G11" s="114">
        <v>39.43</v>
      </c>
      <c r="H11" s="114">
        <v>43.93</v>
      </c>
      <c r="I11" s="114">
        <v>39.76</v>
      </c>
    </row>
    <row r="12" spans="1:9" ht="14.25">
      <c r="A12" s="43" t="s">
        <v>102</v>
      </c>
      <c r="B12" s="114">
        <v>31.6</v>
      </c>
      <c r="C12" s="114">
        <v>45.74</v>
      </c>
      <c r="D12" s="114">
        <v>66.72</v>
      </c>
      <c r="E12" s="114">
        <v>37.81</v>
      </c>
      <c r="F12" s="114">
        <v>57.96</v>
      </c>
      <c r="G12" s="114">
        <v>37.48</v>
      </c>
      <c r="H12" s="114">
        <v>33.43</v>
      </c>
      <c r="I12" s="114">
        <v>31.36</v>
      </c>
    </row>
    <row r="13" spans="1:9" ht="14.25">
      <c r="A13" s="43" t="s">
        <v>103</v>
      </c>
      <c r="B13" s="114">
        <v>29.86</v>
      </c>
      <c r="C13" s="114">
        <v>45.87</v>
      </c>
      <c r="D13" s="114">
        <v>57.81</v>
      </c>
      <c r="E13" s="114">
        <v>35.27</v>
      </c>
      <c r="F13" s="114">
        <v>58.26</v>
      </c>
      <c r="G13" s="114">
        <v>39.25</v>
      </c>
      <c r="H13" s="114">
        <v>32.23</v>
      </c>
      <c r="I13" s="114">
        <v>30.07</v>
      </c>
    </row>
    <row r="14" spans="1:9" ht="14.25">
      <c r="A14" s="43" t="s">
        <v>120</v>
      </c>
      <c r="B14" s="114">
        <v>32.55</v>
      </c>
      <c r="C14" s="114">
        <v>40.92</v>
      </c>
      <c r="D14" s="114">
        <v>53.54</v>
      </c>
      <c r="E14" s="114">
        <v>38.73</v>
      </c>
      <c r="F14" s="114">
        <v>66.73</v>
      </c>
      <c r="G14" s="114">
        <v>37.43</v>
      </c>
      <c r="H14" s="114">
        <v>33.07</v>
      </c>
      <c r="I14" s="114">
        <v>34.75</v>
      </c>
    </row>
    <row r="15" spans="1:9" ht="16.5">
      <c r="A15" s="43" t="s">
        <v>148</v>
      </c>
      <c r="B15" s="114">
        <v>30.25</v>
      </c>
      <c r="C15" s="114">
        <v>32</v>
      </c>
      <c r="D15" s="114">
        <v>54.5</v>
      </c>
      <c r="E15" s="114">
        <v>38</v>
      </c>
      <c r="F15" s="114">
        <v>66</v>
      </c>
      <c r="G15" s="114">
        <v>30.5</v>
      </c>
      <c r="H15" s="114">
        <v>34</v>
      </c>
      <c r="I15" s="114">
        <v>30.5</v>
      </c>
    </row>
    <row r="16" spans="1:9" ht="16.5">
      <c r="A16" s="43" t="s">
        <v>171</v>
      </c>
      <c r="B16" s="115" t="s">
        <v>182</v>
      </c>
      <c r="C16" s="115" t="s">
        <v>183</v>
      </c>
      <c r="D16" s="115" t="s">
        <v>184</v>
      </c>
      <c r="E16" s="115" t="s">
        <v>185</v>
      </c>
      <c r="F16" s="115" t="s">
        <v>186</v>
      </c>
      <c r="G16" s="115" t="s">
        <v>183</v>
      </c>
      <c r="H16" s="115" t="s">
        <v>187</v>
      </c>
      <c r="I16" s="115" t="s">
        <v>182</v>
      </c>
    </row>
    <row r="17" spans="1:9" ht="14.25">
      <c r="A17" s="43"/>
      <c r="B17" s="59"/>
      <c r="C17" s="117"/>
      <c r="D17" s="126"/>
      <c r="E17" s="126"/>
      <c r="F17" s="126"/>
      <c r="G17" s="126"/>
      <c r="H17" s="43"/>
      <c r="I17" s="43"/>
    </row>
    <row r="18" spans="1:9" ht="14.25">
      <c r="A18" s="43" t="s">
        <v>120</v>
      </c>
      <c r="B18" s="114"/>
      <c r="C18" s="114"/>
      <c r="D18" s="114"/>
      <c r="E18" s="114"/>
      <c r="F18" s="114"/>
      <c r="G18" s="114"/>
      <c r="H18" s="114"/>
      <c r="I18" s="114"/>
    </row>
    <row r="19" spans="1:15" ht="14.25">
      <c r="A19" s="43" t="s">
        <v>58</v>
      </c>
      <c r="B19" s="114">
        <v>33.86</v>
      </c>
      <c r="C19" s="114">
        <v>44.875</v>
      </c>
      <c r="D19" s="114">
        <v>56</v>
      </c>
      <c r="E19" s="114">
        <v>38.94</v>
      </c>
      <c r="F19" s="114">
        <v>64.88</v>
      </c>
      <c r="G19" s="114">
        <v>36.22</v>
      </c>
      <c r="H19" s="114">
        <v>34</v>
      </c>
      <c r="I19" s="114">
        <v>32.25</v>
      </c>
      <c r="K19" s="7"/>
      <c r="L19" s="7"/>
      <c r="M19" s="7"/>
      <c r="N19" s="7"/>
      <c r="O19" s="7"/>
    </row>
    <row r="20" spans="1:15" ht="14.25">
      <c r="A20" s="43" t="s">
        <v>59</v>
      </c>
      <c r="B20" s="114">
        <v>34.52</v>
      </c>
      <c r="C20" s="114">
        <v>45.8125</v>
      </c>
      <c r="D20" s="114">
        <v>56</v>
      </c>
      <c r="E20" s="114">
        <v>39.25</v>
      </c>
      <c r="F20" s="114">
        <v>66</v>
      </c>
      <c r="G20" s="114">
        <v>36.83</v>
      </c>
      <c r="H20" s="114" t="s">
        <v>10</v>
      </c>
      <c r="I20" s="114">
        <v>34.69</v>
      </c>
      <c r="K20" s="7"/>
      <c r="L20" s="7"/>
      <c r="M20" s="7"/>
      <c r="N20" s="7"/>
      <c r="O20" s="7"/>
    </row>
    <row r="21" spans="1:15" ht="14.25">
      <c r="A21" s="43" t="s">
        <v>60</v>
      </c>
      <c r="B21" s="114">
        <v>35.57</v>
      </c>
      <c r="C21" s="114">
        <v>46.4</v>
      </c>
      <c r="D21" s="114">
        <v>56</v>
      </c>
      <c r="E21" s="114">
        <v>40.2</v>
      </c>
      <c r="F21" s="114">
        <v>63.1</v>
      </c>
      <c r="G21" s="114">
        <v>38.12</v>
      </c>
      <c r="H21" s="114">
        <v>31</v>
      </c>
      <c r="I21" s="114">
        <v>34</v>
      </c>
      <c r="K21" s="7"/>
      <c r="L21" s="7"/>
      <c r="M21" s="7"/>
      <c r="N21" s="7"/>
      <c r="O21" s="7"/>
    </row>
    <row r="22" spans="1:15" ht="14.25">
      <c r="A22" s="43" t="s">
        <v>61</v>
      </c>
      <c r="B22" s="114">
        <v>33.58</v>
      </c>
      <c r="C22" s="114">
        <v>44.5625</v>
      </c>
      <c r="D22" s="114">
        <v>56</v>
      </c>
      <c r="E22" s="114">
        <v>38.69</v>
      </c>
      <c r="F22" s="114">
        <v>62.88</v>
      </c>
      <c r="G22" s="114">
        <v>37.89</v>
      </c>
      <c r="H22" s="114">
        <v>30.1</v>
      </c>
      <c r="I22" s="114">
        <v>34</v>
      </c>
      <c r="K22" s="7"/>
      <c r="L22" s="7"/>
      <c r="M22" s="7"/>
      <c r="N22" s="7"/>
      <c r="O22" s="7"/>
    </row>
    <row r="23" spans="1:15" ht="14.25">
      <c r="A23" s="43" t="s">
        <v>62</v>
      </c>
      <c r="B23" s="114">
        <v>32</v>
      </c>
      <c r="C23" s="114">
        <v>41.5</v>
      </c>
      <c r="D23" s="114">
        <v>55</v>
      </c>
      <c r="E23" s="114">
        <v>37.25</v>
      </c>
      <c r="F23" s="114">
        <v>63.13</v>
      </c>
      <c r="G23" s="114">
        <v>38.11</v>
      </c>
      <c r="H23" s="114" t="s">
        <v>10</v>
      </c>
      <c r="I23" s="114">
        <v>34.5</v>
      </c>
      <c r="K23" s="7"/>
      <c r="L23" s="7"/>
      <c r="M23" s="7"/>
      <c r="N23" s="7"/>
      <c r="O23" s="7"/>
    </row>
    <row r="24" spans="1:15" ht="14.25">
      <c r="A24" s="43" t="s">
        <v>63</v>
      </c>
      <c r="B24" s="114">
        <v>30.86</v>
      </c>
      <c r="C24" s="114">
        <v>39.45</v>
      </c>
      <c r="D24" s="114">
        <v>52</v>
      </c>
      <c r="E24" s="114">
        <v>37.3</v>
      </c>
      <c r="F24" s="114">
        <v>65.8</v>
      </c>
      <c r="G24" s="114">
        <v>37.9</v>
      </c>
      <c r="H24" s="114" t="s">
        <v>10</v>
      </c>
      <c r="I24" s="114">
        <v>33.8</v>
      </c>
      <c r="K24" s="7"/>
      <c r="L24" s="7"/>
      <c r="M24" s="7"/>
      <c r="N24" s="7"/>
      <c r="O24" s="7"/>
    </row>
    <row r="25" spans="1:15" ht="14.25">
      <c r="A25" s="43" t="s">
        <v>64</v>
      </c>
      <c r="B25" s="114">
        <v>29.57</v>
      </c>
      <c r="C25" s="114">
        <v>37.5625</v>
      </c>
      <c r="D25" s="114">
        <v>51</v>
      </c>
      <c r="E25" s="114">
        <v>36.13</v>
      </c>
      <c r="F25" s="114">
        <v>69.69</v>
      </c>
      <c r="G25" s="114">
        <v>37.63</v>
      </c>
      <c r="H25" s="114" t="s">
        <v>10</v>
      </c>
      <c r="I25" s="114">
        <v>33.5</v>
      </c>
      <c r="K25" s="7"/>
      <c r="L25" s="7"/>
      <c r="M25" s="7"/>
      <c r="N25" s="7"/>
      <c r="O25" s="7"/>
    </row>
    <row r="26" spans="1:15" ht="14.25">
      <c r="A26" s="43" t="s">
        <v>65</v>
      </c>
      <c r="B26" s="114">
        <v>30.6</v>
      </c>
      <c r="C26" s="114">
        <v>38.625</v>
      </c>
      <c r="D26" s="114">
        <v>50.5</v>
      </c>
      <c r="E26" s="114">
        <v>37.06</v>
      </c>
      <c r="F26" s="114">
        <v>70.75</v>
      </c>
      <c r="G26" s="114">
        <v>37.71</v>
      </c>
      <c r="H26" s="114" t="s">
        <v>10</v>
      </c>
      <c r="I26" s="114">
        <v>35.91</v>
      </c>
      <c r="K26" s="7"/>
      <c r="L26" s="7"/>
      <c r="M26" s="7"/>
      <c r="N26" s="7"/>
      <c r="O26" s="7"/>
    </row>
    <row r="27" spans="1:15" ht="14.25">
      <c r="A27" s="43" t="s">
        <v>66</v>
      </c>
      <c r="B27" s="114">
        <v>30.74</v>
      </c>
      <c r="C27" s="114">
        <v>38.6</v>
      </c>
      <c r="D27" s="114">
        <v>50.8</v>
      </c>
      <c r="E27" s="114">
        <v>37.85</v>
      </c>
      <c r="F27" s="114">
        <v>76.2</v>
      </c>
      <c r="G27" s="114">
        <v>38</v>
      </c>
      <c r="H27" s="114">
        <v>34.5</v>
      </c>
      <c r="I27" s="114">
        <v>36.6</v>
      </c>
      <c r="K27" s="7"/>
      <c r="L27" s="7"/>
      <c r="M27" s="7"/>
      <c r="N27" s="7"/>
      <c r="O27" s="7"/>
    </row>
    <row r="28" spans="1:15" ht="14.25">
      <c r="A28" s="43" t="s">
        <v>68</v>
      </c>
      <c r="B28" s="114">
        <v>32.82</v>
      </c>
      <c r="C28" s="114">
        <v>38.875</v>
      </c>
      <c r="D28" s="114">
        <v>51.25</v>
      </c>
      <c r="E28" s="114">
        <v>39.75</v>
      </c>
      <c r="F28" s="114">
        <v>75.75</v>
      </c>
      <c r="G28" s="114">
        <v>37.53</v>
      </c>
      <c r="H28" s="114" t="s">
        <v>10</v>
      </c>
      <c r="I28" s="114">
        <v>36.89</v>
      </c>
      <c r="K28" s="7"/>
      <c r="L28" s="7"/>
      <c r="M28" s="7"/>
      <c r="N28" s="7"/>
      <c r="O28" s="7"/>
    </row>
    <row r="29" spans="1:15" ht="14.25">
      <c r="A29" s="43" t="s">
        <v>69</v>
      </c>
      <c r="B29" s="114">
        <v>33.17</v>
      </c>
      <c r="C29" s="114">
        <v>36.375</v>
      </c>
      <c r="D29" s="114">
        <v>52.75</v>
      </c>
      <c r="E29" s="114">
        <v>41.19</v>
      </c>
      <c r="F29" s="114">
        <v>69.63</v>
      </c>
      <c r="G29" s="114">
        <v>36.75</v>
      </c>
      <c r="H29" s="114" t="s">
        <v>10</v>
      </c>
      <c r="I29" s="114">
        <v>35.78</v>
      </c>
      <c r="K29" s="7"/>
      <c r="L29" s="7"/>
      <c r="M29" s="7"/>
      <c r="N29" s="7"/>
      <c r="O29" s="7"/>
    </row>
    <row r="30" spans="1:15" ht="14.25">
      <c r="A30" s="43" t="s">
        <v>71</v>
      </c>
      <c r="B30" s="114">
        <v>33.28</v>
      </c>
      <c r="C30" s="114">
        <v>38.45</v>
      </c>
      <c r="D30" s="114">
        <v>55.2</v>
      </c>
      <c r="E30" s="114">
        <v>41.15</v>
      </c>
      <c r="F30" s="114">
        <v>66.6</v>
      </c>
      <c r="G30" s="114">
        <v>36.48</v>
      </c>
      <c r="H30" s="114">
        <v>35.75</v>
      </c>
      <c r="I30" s="114">
        <v>35.08</v>
      </c>
      <c r="K30" s="7"/>
      <c r="L30" s="7"/>
      <c r="M30" s="7"/>
      <c r="N30" s="7"/>
      <c r="O30" s="7"/>
    </row>
    <row r="31" spans="1:9" ht="14.25">
      <c r="A31" s="46"/>
      <c r="B31" s="114"/>
      <c r="C31" s="114"/>
      <c r="D31" s="114"/>
      <c r="E31" s="114"/>
      <c r="F31" s="114"/>
      <c r="G31" s="114"/>
      <c r="H31" s="114"/>
      <c r="I31" s="114"/>
    </row>
    <row r="32" spans="1:9" ht="14.25">
      <c r="A32" s="43" t="s">
        <v>123</v>
      </c>
      <c r="B32" s="114"/>
      <c r="C32" s="114"/>
      <c r="D32" s="114"/>
      <c r="E32" s="114"/>
      <c r="F32" s="114"/>
      <c r="G32" s="114"/>
      <c r="H32" s="114"/>
      <c r="I32" s="114"/>
    </row>
    <row r="33" spans="1:15" ht="14.25">
      <c r="A33" s="43" t="s">
        <v>58</v>
      </c>
      <c r="B33" s="114">
        <v>32.35</v>
      </c>
      <c r="C33" s="114">
        <v>37.06</v>
      </c>
      <c r="D33" s="114">
        <v>56</v>
      </c>
      <c r="E33" s="114">
        <v>39.06</v>
      </c>
      <c r="F33" s="114">
        <v>65.44</v>
      </c>
      <c r="G33" s="114">
        <v>34.96</v>
      </c>
      <c r="H33" s="114">
        <v>36</v>
      </c>
      <c r="I33" s="114">
        <v>32.06</v>
      </c>
      <c r="K33" s="7"/>
      <c r="L33" s="7"/>
      <c r="M33" s="7"/>
      <c r="N33" s="7"/>
      <c r="O33" s="7"/>
    </row>
    <row r="34" spans="1:15" ht="14.25">
      <c r="A34" s="43" t="s">
        <v>59</v>
      </c>
      <c r="B34" s="114">
        <v>33.43</v>
      </c>
      <c r="C34" s="114">
        <v>37</v>
      </c>
      <c r="D34" s="114">
        <v>55.5</v>
      </c>
      <c r="E34" s="114">
        <v>39.69</v>
      </c>
      <c r="F34" s="114">
        <v>65</v>
      </c>
      <c r="G34" s="114">
        <v>34.46</v>
      </c>
      <c r="H34" s="114">
        <v>38.17</v>
      </c>
      <c r="I34" s="114">
        <v>33.44</v>
      </c>
      <c r="K34" s="7"/>
      <c r="L34" s="7"/>
      <c r="M34" s="7"/>
      <c r="N34" s="7"/>
      <c r="O34" s="7"/>
    </row>
    <row r="35" spans="1:9" ht="14.25">
      <c r="A35" s="43" t="s">
        <v>60</v>
      </c>
      <c r="B35" s="114">
        <v>32.27</v>
      </c>
      <c r="C35" s="114">
        <v>34.25</v>
      </c>
      <c r="D35" s="114">
        <v>54.8</v>
      </c>
      <c r="E35" s="114">
        <v>38.65</v>
      </c>
      <c r="F35" s="114">
        <v>65.2</v>
      </c>
      <c r="G35" s="114">
        <v>33.96</v>
      </c>
      <c r="H35" s="114">
        <v>37</v>
      </c>
      <c r="I35" s="114">
        <v>31.63</v>
      </c>
    </row>
    <row r="36" spans="1:9" ht="14.25">
      <c r="A36" s="43" t="s">
        <v>61</v>
      </c>
      <c r="B36" s="114">
        <v>31.61</v>
      </c>
      <c r="C36" s="114">
        <v>32.75</v>
      </c>
      <c r="D36" s="114">
        <v>55.5</v>
      </c>
      <c r="E36" s="114">
        <v>38.31</v>
      </c>
      <c r="F36" s="114">
        <v>66.13</v>
      </c>
      <c r="G36" s="114">
        <v>30.68</v>
      </c>
      <c r="H36" s="114">
        <v>32.08</v>
      </c>
      <c r="I36" s="114" t="s">
        <v>10</v>
      </c>
    </row>
    <row r="37" spans="1:9" ht="14.25">
      <c r="A37" s="43" t="s">
        <v>62</v>
      </c>
      <c r="B37" s="114">
        <v>30.63</v>
      </c>
      <c r="C37" s="114">
        <v>31.44</v>
      </c>
      <c r="D37" s="114">
        <v>55</v>
      </c>
      <c r="E37" s="114">
        <v>37.44</v>
      </c>
      <c r="F37" s="114">
        <v>66.63</v>
      </c>
      <c r="G37" s="114">
        <v>29.72</v>
      </c>
      <c r="H37" s="114">
        <v>32.2</v>
      </c>
      <c r="I37" s="114">
        <v>31</v>
      </c>
    </row>
    <row r="38" spans="1:9" ht="14.25">
      <c r="A38" s="43" t="s">
        <v>63</v>
      </c>
      <c r="B38" s="114">
        <v>30.28</v>
      </c>
      <c r="C38" s="114">
        <v>31.35</v>
      </c>
      <c r="D38" s="114">
        <v>54</v>
      </c>
      <c r="E38" s="114">
        <v>37.1</v>
      </c>
      <c r="F38" s="114">
        <v>67</v>
      </c>
      <c r="G38" s="114">
        <v>29.66</v>
      </c>
      <c r="H38" s="114" t="s">
        <v>10</v>
      </c>
      <c r="I38" s="114" t="s">
        <v>10</v>
      </c>
    </row>
    <row r="39" spans="1:9" ht="14.25">
      <c r="A39" s="43" t="s">
        <v>64</v>
      </c>
      <c r="B39" s="114">
        <v>29.7</v>
      </c>
      <c r="C39" s="114">
        <v>31.19</v>
      </c>
      <c r="D39" s="114">
        <v>54</v>
      </c>
      <c r="E39" s="114">
        <v>37.31</v>
      </c>
      <c r="F39" s="114">
        <v>66.88</v>
      </c>
      <c r="G39" s="114">
        <v>29.5</v>
      </c>
      <c r="H39" s="114" t="s">
        <v>10</v>
      </c>
      <c r="I39" s="114">
        <v>29.5</v>
      </c>
    </row>
    <row r="40" spans="1:9" ht="14.25">
      <c r="A40" s="43" t="s">
        <v>65</v>
      </c>
      <c r="B40" s="114">
        <v>29.4</v>
      </c>
      <c r="C40" s="114">
        <v>31.25</v>
      </c>
      <c r="D40" s="114">
        <v>54</v>
      </c>
      <c r="E40" s="114">
        <v>38.25</v>
      </c>
      <c r="F40" s="114">
        <v>66.5</v>
      </c>
      <c r="G40" s="114">
        <v>29.65</v>
      </c>
      <c r="H40" s="114" t="s">
        <v>10</v>
      </c>
      <c r="I40" s="114">
        <v>29</v>
      </c>
    </row>
    <row r="41" spans="1:9" ht="14.25">
      <c r="A41" s="42" t="s">
        <v>66</v>
      </c>
      <c r="B41" s="120">
        <v>28.3</v>
      </c>
      <c r="C41" s="120">
        <v>29.9</v>
      </c>
      <c r="D41" s="120">
        <v>54</v>
      </c>
      <c r="E41" s="120">
        <v>37.75</v>
      </c>
      <c r="F41" s="120">
        <v>67.7</v>
      </c>
      <c r="G41" s="120">
        <v>29.54</v>
      </c>
      <c r="H41" s="120">
        <v>32.5</v>
      </c>
      <c r="I41" s="120">
        <v>30</v>
      </c>
    </row>
    <row r="42" spans="1:9" ht="16.5">
      <c r="A42" s="89" t="s">
        <v>167</v>
      </c>
      <c r="B42" s="127"/>
      <c r="C42" s="127"/>
      <c r="D42" s="127"/>
      <c r="E42" s="127"/>
      <c r="F42" s="127"/>
      <c r="G42" s="127"/>
      <c r="H42" s="127"/>
      <c r="I42" s="127"/>
    </row>
    <row r="43" spans="1:9" ht="16.5">
      <c r="A43" s="43" t="s">
        <v>168</v>
      </c>
      <c r="B43" s="127"/>
      <c r="C43" s="127"/>
      <c r="D43" s="127"/>
      <c r="E43" s="127"/>
      <c r="F43" s="127"/>
      <c r="G43" s="127"/>
      <c r="H43" s="127"/>
      <c r="I43" s="127"/>
    </row>
    <row r="44" spans="1:9" ht="14.25">
      <c r="A44" s="43" t="s">
        <v>158</v>
      </c>
      <c r="B44" s="43"/>
      <c r="C44" s="43"/>
      <c r="D44" s="43"/>
      <c r="E44" s="43"/>
      <c r="F44" s="127"/>
      <c r="G44" s="43"/>
      <c r="H44" s="43"/>
      <c r="I44" s="43"/>
    </row>
    <row r="45" spans="1:9" ht="14.25">
      <c r="A45" s="43" t="s">
        <v>26</v>
      </c>
      <c r="B45" s="81">
        <f ca="1">NOW()</f>
        <v>43297.368709490744</v>
      </c>
      <c r="C45" s="43"/>
      <c r="D45" s="43"/>
      <c r="E45" s="43"/>
      <c r="F45" s="43"/>
      <c r="G45" s="43"/>
      <c r="H45" s="43"/>
      <c r="I45" s="43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G60" s="14"/>
      <c r="H60" s="14"/>
      <c r="I60" s="14"/>
    </row>
    <row r="61" spans="3:9" ht="15.75">
      <c r="C61" s="14"/>
      <c r="G61" s="14"/>
      <c r="H61" s="14"/>
      <c r="I61" s="14"/>
    </row>
    <row r="62" spans="3:9" ht="15.75">
      <c r="C62" s="14"/>
      <c r="H62" s="14"/>
      <c r="I62" s="14"/>
    </row>
    <row r="63" spans="3:9" ht="15.75">
      <c r="C63" s="14"/>
      <c r="H63" s="14"/>
      <c r="I63" s="14"/>
    </row>
    <row r="64" spans="3:9" ht="15.75">
      <c r="C64" s="14"/>
      <c r="F64" s="16"/>
      <c r="H64" s="14"/>
      <c r="I64" s="14"/>
    </row>
    <row r="65" spans="6:9" ht="15.75">
      <c r="F65" s="16"/>
      <c r="H65" s="14"/>
      <c r="I65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42" t="s">
        <v>43</v>
      </c>
      <c r="B1" s="42"/>
      <c r="C1" s="42"/>
      <c r="D1" s="42"/>
      <c r="E1" s="42"/>
      <c r="F1" s="42"/>
      <c r="G1" s="42"/>
    </row>
    <row r="2" spans="1:7" ht="15" customHeight="1">
      <c r="A2" s="46" t="s">
        <v>15</v>
      </c>
      <c r="B2" s="90" t="s">
        <v>44</v>
      </c>
      <c r="C2" s="128" t="s">
        <v>17</v>
      </c>
      <c r="D2" s="128" t="s">
        <v>89</v>
      </c>
      <c r="E2" s="128" t="s">
        <v>45</v>
      </c>
      <c r="F2" s="90" t="s">
        <v>46</v>
      </c>
      <c r="G2" s="45" t="s">
        <v>47</v>
      </c>
    </row>
    <row r="3" spans="1:7" ht="15" customHeight="1">
      <c r="A3" s="42" t="s">
        <v>16</v>
      </c>
      <c r="B3" s="50" t="s">
        <v>159</v>
      </c>
      <c r="C3" s="50" t="s">
        <v>160</v>
      </c>
      <c r="D3" s="50" t="s">
        <v>161</v>
      </c>
      <c r="E3" s="50" t="s">
        <v>162</v>
      </c>
      <c r="F3" s="50" t="s">
        <v>163</v>
      </c>
      <c r="G3" s="50" t="s">
        <v>164</v>
      </c>
    </row>
    <row r="4" spans="1:7" ht="14.25">
      <c r="A4" s="43"/>
      <c r="B4" s="62" t="s">
        <v>110</v>
      </c>
      <c r="C4" s="125"/>
      <c r="D4" s="125"/>
      <c r="E4" s="125"/>
      <c r="F4" s="125"/>
      <c r="G4" s="125"/>
    </row>
    <row r="5" spans="1:7" ht="14.25">
      <c r="A5" s="43"/>
      <c r="B5" s="43"/>
      <c r="C5" s="43"/>
      <c r="D5" s="43"/>
      <c r="E5" s="43"/>
      <c r="F5" s="43"/>
      <c r="G5" s="43"/>
    </row>
    <row r="6" spans="1:8" ht="14.25">
      <c r="A6" s="43" t="s">
        <v>53</v>
      </c>
      <c r="B6" s="114">
        <v>331.17</v>
      </c>
      <c r="C6" s="114">
        <v>255.23</v>
      </c>
      <c r="D6" s="114">
        <v>152.46</v>
      </c>
      <c r="E6" s="129" t="s">
        <v>10</v>
      </c>
      <c r="F6" s="114">
        <v>248.82</v>
      </c>
      <c r="G6" s="114">
        <v>220.89</v>
      </c>
      <c r="H6" s="16"/>
    </row>
    <row r="7" spans="1:8" ht="14.25">
      <c r="A7" s="43" t="s">
        <v>55</v>
      </c>
      <c r="B7" s="114">
        <v>311.27</v>
      </c>
      <c r="C7" s="114">
        <v>220.9</v>
      </c>
      <c r="D7" s="114">
        <v>151.04</v>
      </c>
      <c r="E7" s="129" t="s">
        <v>10</v>
      </c>
      <c r="F7" s="114">
        <v>224.92</v>
      </c>
      <c r="G7" s="114">
        <v>209.23</v>
      </c>
      <c r="H7" s="16"/>
    </row>
    <row r="8" spans="1:8" ht="14.25">
      <c r="A8" s="43" t="s">
        <v>56</v>
      </c>
      <c r="B8" s="114">
        <v>345.52</v>
      </c>
      <c r="C8" s="114">
        <v>273.84</v>
      </c>
      <c r="D8" s="114">
        <v>219.72</v>
      </c>
      <c r="E8" s="129" t="s">
        <v>10</v>
      </c>
      <c r="F8" s="114">
        <v>263.63</v>
      </c>
      <c r="G8" s="114">
        <v>240.65</v>
      </c>
      <c r="H8" s="16"/>
    </row>
    <row r="9" spans="1:8" ht="14.25">
      <c r="A9" s="43" t="s">
        <v>67</v>
      </c>
      <c r="B9" s="114">
        <v>393.53</v>
      </c>
      <c r="C9" s="114">
        <v>275.13</v>
      </c>
      <c r="D9" s="114">
        <v>246.75</v>
      </c>
      <c r="E9" s="129" t="s">
        <v>10</v>
      </c>
      <c r="F9" s="114">
        <v>307.59</v>
      </c>
      <c r="G9" s="114">
        <v>265.68</v>
      </c>
      <c r="H9" s="16"/>
    </row>
    <row r="10" spans="1:8" ht="14.25">
      <c r="A10" s="43" t="s">
        <v>91</v>
      </c>
      <c r="B10" s="114">
        <v>468.11</v>
      </c>
      <c r="C10" s="114">
        <v>331.52</v>
      </c>
      <c r="D10" s="114">
        <v>241.57</v>
      </c>
      <c r="E10" s="129" t="s">
        <v>10</v>
      </c>
      <c r="F10" s="114">
        <v>354.22</v>
      </c>
      <c r="G10" s="114">
        <v>329.31</v>
      </c>
      <c r="H10" s="16"/>
    </row>
    <row r="11" spans="1:8" ht="14.25">
      <c r="A11" s="43" t="s">
        <v>99</v>
      </c>
      <c r="B11" s="114">
        <v>489.94</v>
      </c>
      <c r="C11" s="114">
        <v>377.71</v>
      </c>
      <c r="D11" s="114">
        <v>238.87</v>
      </c>
      <c r="E11" s="129" t="s">
        <v>10</v>
      </c>
      <c r="F11" s="114">
        <v>359.7</v>
      </c>
      <c r="G11" s="114">
        <v>337.23</v>
      </c>
      <c r="H11" s="16"/>
    </row>
    <row r="12" spans="1:8" ht="14.25">
      <c r="A12" s="43" t="s">
        <v>102</v>
      </c>
      <c r="B12" s="114">
        <v>368.49</v>
      </c>
      <c r="C12" s="114">
        <v>304.27</v>
      </c>
      <c r="D12" s="114">
        <v>209.97</v>
      </c>
      <c r="E12" s="129" t="s">
        <v>10</v>
      </c>
      <c r="F12" s="114">
        <v>301.2</v>
      </c>
      <c r="G12" s="114">
        <v>256.58</v>
      </c>
      <c r="H12" s="16"/>
    </row>
    <row r="13" spans="1:7" ht="14.25">
      <c r="A13" s="43" t="s">
        <v>103</v>
      </c>
      <c r="B13" s="114">
        <v>324.56</v>
      </c>
      <c r="C13" s="114">
        <v>261.19</v>
      </c>
      <c r="D13" s="114">
        <v>153.17</v>
      </c>
      <c r="E13" s="129" t="s">
        <v>10</v>
      </c>
      <c r="F13" s="114">
        <v>262.2</v>
      </c>
      <c r="G13" s="114">
        <v>260.23</v>
      </c>
    </row>
    <row r="14" spans="1:7" ht="14.25">
      <c r="A14" s="43" t="s">
        <v>120</v>
      </c>
      <c r="B14" s="114">
        <v>316.88</v>
      </c>
      <c r="C14" s="114">
        <v>208.61</v>
      </c>
      <c r="D14" s="114">
        <v>145.1</v>
      </c>
      <c r="E14" s="129" t="s">
        <v>10</v>
      </c>
      <c r="F14" s="114">
        <v>267.94</v>
      </c>
      <c r="G14" s="114">
        <v>282.49</v>
      </c>
    </row>
    <row r="15" spans="1:7" ht="16.5">
      <c r="A15" s="43" t="s">
        <v>148</v>
      </c>
      <c r="B15" s="114">
        <v>350</v>
      </c>
      <c r="C15" s="114">
        <v>260</v>
      </c>
      <c r="D15" s="114">
        <v>180</v>
      </c>
      <c r="E15" s="129" t="s">
        <v>10</v>
      </c>
      <c r="F15" s="114">
        <v>295</v>
      </c>
      <c r="G15" s="114">
        <v>230</v>
      </c>
    </row>
    <row r="16" spans="1:7" ht="16.5">
      <c r="A16" s="43" t="s">
        <v>171</v>
      </c>
      <c r="B16" s="114" t="s">
        <v>178</v>
      </c>
      <c r="C16" s="114" t="s">
        <v>179</v>
      </c>
      <c r="D16" s="114" t="s">
        <v>202</v>
      </c>
      <c r="E16" s="129" t="s">
        <v>10</v>
      </c>
      <c r="F16" s="114" t="s">
        <v>180</v>
      </c>
      <c r="G16" s="114" t="s">
        <v>181</v>
      </c>
    </row>
    <row r="17" spans="1:8" ht="14.25">
      <c r="A17" s="130"/>
      <c r="B17" s="114"/>
      <c r="C17" s="114"/>
      <c r="D17" s="114"/>
      <c r="E17" s="129"/>
      <c r="F17" s="114"/>
      <c r="G17" s="114"/>
      <c r="H17" s="13"/>
    </row>
    <row r="18" spans="1:8" ht="14.25">
      <c r="A18" s="43" t="s">
        <v>120</v>
      </c>
      <c r="B18" s="114"/>
      <c r="C18" s="114"/>
      <c r="D18" s="114"/>
      <c r="E18" s="129"/>
      <c r="F18" s="114"/>
      <c r="G18" s="114"/>
      <c r="H18" s="13"/>
    </row>
    <row r="19" spans="1:13" ht="14.25">
      <c r="A19" s="43" t="s">
        <v>58</v>
      </c>
      <c r="B19" s="114">
        <v>323.27</v>
      </c>
      <c r="C19" s="114">
        <v>241.88</v>
      </c>
      <c r="D19" s="114">
        <v>148.75</v>
      </c>
      <c r="E19" s="129" t="s">
        <v>10</v>
      </c>
      <c r="F19" s="114">
        <v>225.05</v>
      </c>
      <c r="G19" s="114">
        <v>305.63</v>
      </c>
      <c r="H19" s="13"/>
      <c r="I19" s="7"/>
      <c r="J19" s="7"/>
      <c r="K19" s="7"/>
      <c r="L19" s="7"/>
      <c r="M19" s="7"/>
    </row>
    <row r="20" spans="1:13" ht="14.25">
      <c r="A20" s="43" t="s">
        <v>59</v>
      </c>
      <c r="B20" s="114">
        <v>322.41</v>
      </c>
      <c r="C20" s="114">
        <v>221</v>
      </c>
      <c r="D20" s="114">
        <v>140.5</v>
      </c>
      <c r="E20" s="129" t="s">
        <v>10</v>
      </c>
      <c r="F20" s="114">
        <v>234.78</v>
      </c>
      <c r="G20" s="114">
        <v>296</v>
      </c>
      <c r="H20" s="13"/>
      <c r="I20" s="7"/>
      <c r="J20" s="7"/>
      <c r="K20" s="7"/>
      <c r="L20" s="7"/>
      <c r="M20" s="7"/>
    </row>
    <row r="21" spans="1:13" ht="14.25">
      <c r="A21" s="43" t="s">
        <v>60</v>
      </c>
      <c r="B21" s="114">
        <v>321.02</v>
      </c>
      <c r="C21" s="114">
        <v>217.5</v>
      </c>
      <c r="D21" s="114">
        <v>145</v>
      </c>
      <c r="E21" s="129" t="s">
        <v>10</v>
      </c>
      <c r="F21" s="114">
        <v>243.3</v>
      </c>
      <c r="G21" s="114">
        <v>290</v>
      </c>
      <c r="H21" s="13"/>
      <c r="I21" s="7"/>
      <c r="J21" s="7"/>
      <c r="K21" s="7"/>
      <c r="L21" s="7"/>
      <c r="M21" s="7"/>
    </row>
    <row r="22" spans="1:13" ht="14.25">
      <c r="A22" s="43" t="s">
        <v>61</v>
      </c>
      <c r="B22" s="114">
        <v>332.34</v>
      </c>
      <c r="C22" s="114">
        <v>223.5</v>
      </c>
      <c r="D22" s="114">
        <v>159</v>
      </c>
      <c r="E22" s="129" t="s">
        <v>10</v>
      </c>
      <c r="F22" s="114">
        <v>267.41</v>
      </c>
      <c r="G22" s="114">
        <v>297</v>
      </c>
      <c r="H22" s="13"/>
      <c r="I22" s="7"/>
      <c r="J22" s="7"/>
      <c r="K22" s="7"/>
      <c r="L22" s="7"/>
      <c r="M22" s="7"/>
    </row>
    <row r="23" spans="1:13" ht="14.25">
      <c r="A23" s="43" t="s">
        <v>62</v>
      </c>
      <c r="B23" s="114">
        <v>334.42</v>
      </c>
      <c r="C23" s="114">
        <v>221.88</v>
      </c>
      <c r="D23" s="114">
        <v>161.88</v>
      </c>
      <c r="E23" s="129" t="s">
        <v>10</v>
      </c>
      <c r="F23" s="114">
        <v>276.9</v>
      </c>
      <c r="G23" s="114">
        <v>299.38</v>
      </c>
      <c r="H23" s="13"/>
      <c r="I23" s="7"/>
      <c r="J23" s="7"/>
      <c r="K23" s="7"/>
      <c r="L23" s="7"/>
      <c r="M23" s="7"/>
    </row>
    <row r="24" spans="1:13" ht="14.25">
      <c r="A24" s="43" t="s">
        <v>63</v>
      </c>
      <c r="B24" s="114">
        <v>320.34</v>
      </c>
      <c r="C24" s="114">
        <v>210.63</v>
      </c>
      <c r="D24" s="114">
        <v>155</v>
      </c>
      <c r="E24" s="129" t="s">
        <v>10</v>
      </c>
      <c r="F24" s="114">
        <v>276.33</v>
      </c>
      <c r="G24" s="114">
        <v>297.5</v>
      </c>
      <c r="H24" s="13"/>
      <c r="I24" s="7"/>
      <c r="J24" s="7"/>
      <c r="K24" s="7"/>
      <c r="L24" s="7"/>
      <c r="M24" s="7"/>
    </row>
    <row r="25" spans="1:13" ht="14.25">
      <c r="A25" s="43" t="s">
        <v>64</v>
      </c>
      <c r="B25" s="114">
        <v>305.67</v>
      </c>
      <c r="C25" s="114">
        <v>195</v>
      </c>
      <c r="D25" s="114">
        <v>147.5</v>
      </c>
      <c r="E25" s="129" t="s">
        <v>10</v>
      </c>
      <c r="F25" s="114">
        <v>270.66</v>
      </c>
      <c r="G25" s="114">
        <v>291.25</v>
      </c>
      <c r="H25" s="13"/>
      <c r="I25" s="7"/>
      <c r="J25" s="7"/>
      <c r="K25" s="7"/>
      <c r="L25" s="7"/>
      <c r="M25" s="7"/>
    </row>
    <row r="26" spans="1:13" ht="14.25">
      <c r="A26" s="43" t="s">
        <v>65</v>
      </c>
      <c r="B26" s="114">
        <v>307.63</v>
      </c>
      <c r="C26" s="114">
        <v>179.5</v>
      </c>
      <c r="D26" s="114">
        <v>144</v>
      </c>
      <c r="E26" s="129" t="s">
        <v>10</v>
      </c>
      <c r="F26" s="114">
        <v>279.64</v>
      </c>
      <c r="G26" s="114">
        <v>290</v>
      </c>
      <c r="H26" s="13"/>
      <c r="I26" s="7"/>
      <c r="J26" s="7"/>
      <c r="K26" s="7"/>
      <c r="L26" s="7"/>
      <c r="M26" s="7"/>
    </row>
    <row r="27" spans="1:13" ht="14.25">
      <c r="A27" s="43" t="s">
        <v>66</v>
      </c>
      <c r="B27" s="114">
        <v>300.72</v>
      </c>
      <c r="C27" s="114">
        <v>179.38</v>
      </c>
      <c r="D27" s="114">
        <v>140</v>
      </c>
      <c r="E27" s="129" t="s">
        <v>10</v>
      </c>
      <c r="F27" s="114">
        <v>281.66</v>
      </c>
      <c r="G27" s="114">
        <v>282.63</v>
      </c>
      <c r="H27" s="13"/>
      <c r="I27" s="7"/>
      <c r="J27" s="7"/>
      <c r="K27" s="7"/>
      <c r="L27" s="7"/>
      <c r="M27" s="7"/>
    </row>
    <row r="28" spans="1:13" ht="14.25">
      <c r="A28" s="43" t="s">
        <v>68</v>
      </c>
      <c r="B28" s="114">
        <v>326.04</v>
      </c>
      <c r="C28" s="114">
        <v>200.83</v>
      </c>
      <c r="D28" s="114">
        <v>130.63</v>
      </c>
      <c r="E28" s="129" t="s">
        <v>10</v>
      </c>
      <c r="F28" s="114">
        <v>307.73</v>
      </c>
      <c r="G28" s="114">
        <v>250.63</v>
      </c>
      <c r="H28" s="13"/>
      <c r="I28" s="7"/>
      <c r="J28" s="7"/>
      <c r="K28" s="7"/>
      <c r="L28" s="7"/>
      <c r="M28" s="7"/>
    </row>
    <row r="29" spans="1:13" ht="14.25">
      <c r="A29" s="43" t="s">
        <v>69</v>
      </c>
      <c r="B29" s="114">
        <v>301.05</v>
      </c>
      <c r="C29" s="114">
        <v>198.5</v>
      </c>
      <c r="D29" s="114">
        <v>134.5</v>
      </c>
      <c r="E29" s="129" t="s">
        <v>10</v>
      </c>
      <c r="F29" s="114">
        <v>289.45</v>
      </c>
      <c r="G29" s="114">
        <v>253</v>
      </c>
      <c r="H29" s="13"/>
      <c r="I29" s="7"/>
      <c r="J29" s="7"/>
      <c r="K29" s="7"/>
      <c r="L29" s="7"/>
      <c r="M29" s="7"/>
    </row>
    <row r="30" spans="1:13" ht="14.25">
      <c r="A30" s="43" t="s">
        <v>71</v>
      </c>
      <c r="B30" s="114">
        <v>307.7</v>
      </c>
      <c r="C30" s="114">
        <v>213.75</v>
      </c>
      <c r="D30" s="114">
        <v>134.38</v>
      </c>
      <c r="E30" s="129" t="s">
        <v>10</v>
      </c>
      <c r="F30" s="114">
        <v>262.33</v>
      </c>
      <c r="G30" s="114">
        <v>236.88</v>
      </c>
      <c r="H30" s="13"/>
      <c r="I30" s="7"/>
      <c r="J30" s="7"/>
      <c r="K30" s="7"/>
      <c r="L30" s="7"/>
      <c r="M30" s="7"/>
    </row>
    <row r="31" spans="1:8" ht="14.25">
      <c r="A31" s="130"/>
      <c r="B31" s="114"/>
      <c r="C31" s="114"/>
      <c r="D31" s="114"/>
      <c r="E31" s="129"/>
      <c r="F31" s="114"/>
      <c r="G31" s="114"/>
      <c r="H31" s="13"/>
    </row>
    <row r="32" spans="1:8" ht="14.25">
      <c r="A32" s="43" t="s">
        <v>123</v>
      </c>
      <c r="B32" s="114"/>
      <c r="C32" s="114"/>
      <c r="D32" s="114"/>
      <c r="E32" s="129"/>
      <c r="F32" s="114"/>
      <c r="G32" s="114"/>
      <c r="H32" s="13"/>
    </row>
    <row r="33" spans="1:13" ht="14.25">
      <c r="A33" s="43" t="s">
        <v>58</v>
      </c>
      <c r="B33" s="114">
        <v>315.23</v>
      </c>
      <c r="C33" s="114">
        <v>229</v>
      </c>
      <c r="D33" s="114">
        <v>153</v>
      </c>
      <c r="E33" s="129" t="s">
        <v>10</v>
      </c>
      <c r="F33" s="114">
        <v>257.73</v>
      </c>
      <c r="G33" s="114">
        <v>214</v>
      </c>
      <c r="H33" s="13"/>
      <c r="I33" s="7"/>
      <c r="J33" s="7"/>
      <c r="K33" s="7"/>
      <c r="L33" s="7"/>
      <c r="M33" s="7"/>
    </row>
    <row r="34" spans="1:13" ht="14.25">
      <c r="A34" s="43" t="s">
        <v>59</v>
      </c>
      <c r="B34" s="114">
        <v>313.52</v>
      </c>
      <c r="C34" s="114">
        <v>228.75</v>
      </c>
      <c r="D34" s="114">
        <v>165</v>
      </c>
      <c r="E34" s="129" t="s">
        <v>10</v>
      </c>
      <c r="F34" s="114">
        <v>255.74</v>
      </c>
      <c r="G34" s="114">
        <v>205</v>
      </c>
      <c r="H34" s="13"/>
      <c r="I34" s="7"/>
      <c r="J34" s="7"/>
      <c r="K34" s="7"/>
      <c r="L34" s="7"/>
      <c r="M34" s="7"/>
    </row>
    <row r="35" spans="1:8" ht="14.25">
      <c r="A35" s="43" t="s">
        <v>60</v>
      </c>
      <c r="B35" s="114">
        <v>319.22</v>
      </c>
      <c r="C35" s="114">
        <v>232.5</v>
      </c>
      <c r="D35" s="114">
        <v>185</v>
      </c>
      <c r="E35" s="129" t="s">
        <v>10</v>
      </c>
      <c r="F35" s="114">
        <v>266.53</v>
      </c>
      <c r="G35" s="114">
        <v>209.17</v>
      </c>
      <c r="H35" s="13"/>
    </row>
    <row r="36" spans="1:8" ht="14.25">
      <c r="A36" s="43" t="s">
        <v>61</v>
      </c>
      <c r="B36" s="114">
        <v>322.6</v>
      </c>
      <c r="C36" s="114">
        <v>259</v>
      </c>
      <c r="D36" s="114">
        <v>178</v>
      </c>
      <c r="E36" s="129" t="s">
        <v>10</v>
      </c>
      <c r="F36" s="114">
        <v>270.2</v>
      </c>
      <c r="G36" s="114">
        <v>215.5</v>
      </c>
      <c r="H36" s="13"/>
    </row>
    <row r="37" spans="1:8" ht="14.25">
      <c r="A37" s="43" t="s">
        <v>62</v>
      </c>
      <c r="B37" s="114">
        <v>362.85</v>
      </c>
      <c r="C37" s="114">
        <v>303.13</v>
      </c>
      <c r="D37" s="114">
        <v>185.63</v>
      </c>
      <c r="E37" s="129" t="s">
        <v>10</v>
      </c>
      <c r="F37" s="114">
        <v>315.95</v>
      </c>
      <c r="G37" s="114">
        <v>233.13</v>
      </c>
      <c r="H37" s="13"/>
    </row>
    <row r="38" spans="1:8" ht="14.25">
      <c r="A38" s="43" t="s">
        <v>63</v>
      </c>
      <c r="B38" s="114">
        <v>379.85</v>
      </c>
      <c r="C38" s="114">
        <v>323.13</v>
      </c>
      <c r="D38" s="114">
        <v>187.5</v>
      </c>
      <c r="E38" s="129" t="s">
        <v>10</v>
      </c>
      <c r="F38" s="114">
        <v>334.58</v>
      </c>
      <c r="G38" s="114">
        <v>237.5</v>
      </c>
      <c r="H38" s="13"/>
    </row>
    <row r="39" spans="1:8" ht="14.25">
      <c r="A39" s="43" t="s">
        <v>64</v>
      </c>
      <c r="B39" s="114">
        <v>385.84</v>
      </c>
      <c r="C39" s="114">
        <v>263.13</v>
      </c>
      <c r="D39" s="114">
        <v>191.88</v>
      </c>
      <c r="E39" s="129" t="s">
        <v>10</v>
      </c>
      <c r="F39" s="114">
        <v>332.16</v>
      </c>
      <c r="G39" s="114">
        <v>238.13</v>
      </c>
      <c r="H39" s="13"/>
    </row>
    <row r="40" spans="1:8" ht="14.25">
      <c r="A40" s="43" t="s">
        <v>65</v>
      </c>
      <c r="B40" s="114">
        <v>393.55</v>
      </c>
      <c r="C40" s="114">
        <v>262.5</v>
      </c>
      <c r="D40" s="114">
        <v>201.5</v>
      </c>
      <c r="E40" s="129" t="s">
        <v>10</v>
      </c>
      <c r="F40" s="114">
        <v>336.93</v>
      </c>
      <c r="G40" s="114">
        <v>267.5</v>
      </c>
      <c r="H40" s="13"/>
    </row>
    <row r="41" spans="1:13" ht="14.25">
      <c r="A41" s="131" t="s">
        <v>66</v>
      </c>
      <c r="B41" s="120">
        <v>355.71</v>
      </c>
      <c r="C41" s="120">
        <v>257.5</v>
      </c>
      <c r="D41" s="120">
        <v>175.63</v>
      </c>
      <c r="E41" s="132" t="s">
        <v>10</v>
      </c>
      <c r="F41" s="120">
        <v>302.75</v>
      </c>
      <c r="G41" s="120">
        <v>271.25</v>
      </c>
      <c r="I41" s="6"/>
      <c r="J41" s="6"/>
      <c r="K41" s="6"/>
      <c r="L41" s="6"/>
      <c r="M41" s="6"/>
    </row>
    <row r="42" spans="1:13" ht="16.5">
      <c r="A42" s="89" t="s">
        <v>169</v>
      </c>
      <c r="B42" s="133"/>
      <c r="C42" s="133"/>
      <c r="D42" s="133"/>
      <c r="E42" s="133"/>
      <c r="F42" s="133"/>
      <c r="G42" s="133"/>
      <c r="I42" s="11"/>
      <c r="J42" s="6"/>
      <c r="K42" s="6"/>
      <c r="L42" s="6"/>
      <c r="M42" s="6"/>
    </row>
    <row r="43" spans="1:13" ht="16.5">
      <c r="A43" s="89" t="s">
        <v>165</v>
      </c>
      <c r="B43" s="134"/>
      <c r="C43" s="134"/>
      <c r="D43" s="134"/>
      <c r="E43" s="134"/>
      <c r="F43" s="134"/>
      <c r="G43" s="134"/>
      <c r="I43" s="11"/>
      <c r="J43" s="6"/>
      <c r="K43" s="6"/>
      <c r="L43" s="6"/>
      <c r="M43" s="6"/>
    </row>
    <row r="44" spans="1:13" ht="14.25">
      <c r="A44" s="43" t="s">
        <v>90</v>
      </c>
      <c r="B44" s="134"/>
      <c r="C44" s="134"/>
      <c r="D44" s="134"/>
      <c r="E44" s="134"/>
      <c r="F44" s="134"/>
      <c r="G44" s="134"/>
      <c r="H44" s="1"/>
      <c r="I44" s="11"/>
      <c r="J44" s="6"/>
      <c r="K44" s="6"/>
      <c r="L44" s="6"/>
      <c r="M44" s="6"/>
    </row>
    <row r="45" spans="1:13" ht="14.25">
      <c r="A45" s="43" t="s">
        <v>166</v>
      </c>
      <c r="B45" s="43"/>
      <c r="C45" s="43"/>
      <c r="D45" s="43"/>
      <c r="E45" s="43"/>
      <c r="F45" s="43"/>
      <c r="G45" s="43"/>
      <c r="I45" s="11"/>
      <c r="J45" s="6"/>
      <c r="K45" s="6"/>
      <c r="L45" s="6"/>
      <c r="M45" s="6"/>
    </row>
    <row r="46" spans="1:13" ht="14.25">
      <c r="A46" s="43" t="s">
        <v>26</v>
      </c>
      <c r="B46" s="81">
        <f ca="1">NOW()</f>
        <v>43297.368709490744</v>
      </c>
      <c r="C46" s="43"/>
      <c r="D46" s="43"/>
      <c r="E46" s="43"/>
      <c r="F46" s="43"/>
      <c r="G46" s="43"/>
      <c r="I46" s="12"/>
      <c r="J46" s="8"/>
      <c r="K46" s="8"/>
      <c r="L46" s="8"/>
      <c r="M46" s="8"/>
    </row>
    <row r="47" spans="6:13" ht="15.75">
      <c r="F47" s="14"/>
      <c r="I47" s="12"/>
      <c r="J47" s="8"/>
      <c r="K47" s="8"/>
      <c r="L47" s="8"/>
      <c r="M47" s="8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2" spans="9:13" ht="12.75">
      <c r="I52" s="11"/>
      <c r="J52" s="11"/>
      <c r="K52" s="6"/>
      <c r="L52" s="6"/>
      <c r="M52" s="6"/>
    </row>
    <row r="53" spans="9:13" ht="12.75">
      <c r="I53" s="11"/>
      <c r="J53" s="11"/>
      <c r="K53" s="6"/>
      <c r="L53" s="6"/>
      <c r="M53" s="6"/>
    </row>
    <row r="55" spans="9:13" ht="12.75">
      <c r="I55" s="9"/>
      <c r="J55" s="9"/>
      <c r="K55" s="9"/>
      <c r="L55" s="9"/>
      <c r="M55" s="9"/>
    </row>
    <row r="56" spans="9:13" ht="12.75">
      <c r="I56" s="9"/>
      <c r="J56" s="9"/>
      <c r="K56" s="9"/>
      <c r="L56" s="9"/>
      <c r="M56" s="9"/>
    </row>
    <row r="57" ht="12.75">
      <c r="J57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7109375" style="1" customWidth="1"/>
    <col min="2" max="3" width="10.7109375" style="16" bestFit="1" customWidth="1"/>
  </cols>
  <sheetData>
    <row r="1" spans="1:3" ht="12.75">
      <c r="A1" s="140" t="s">
        <v>175</v>
      </c>
      <c r="B1" s="136" t="s">
        <v>194</v>
      </c>
      <c r="C1" s="136" t="s">
        <v>195</v>
      </c>
    </row>
    <row r="2" spans="1:3" ht="15.75">
      <c r="A2" s="141" t="s">
        <v>176</v>
      </c>
      <c r="B2" s="137"/>
      <c r="C2" s="137"/>
    </row>
    <row r="3" spans="2:3" ht="12.75">
      <c r="B3" s="138" t="s">
        <v>177</v>
      </c>
      <c r="C3" s="138"/>
    </row>
    <row r="4" spans="1:4" ht="15.75">
      <c r="A4" s="142">
        <v>42979</v>
      </c>
      <c r="B4" s="139">
        <v>9.2</v>
      </c>
      <c r="C4" s="139">
        <v>9.940000000000001</v>
      </c>
      <c r="D4" s="135"/>
    </row>
    <row r="5" spans="1:4" ht="15.75">
      <c r="A5" s="142">
        <v>42983</v>
      </c>
      <c r="B5" s="139">
        <v>9.37</v>
      </c>
      <c r="C5" s="139">
        <v>10.11</v>
      </c>
      <c r="D5" s="135"/>
    </row>
    <row r="6" spans="1:4" ht="15.75">
      <c r="A6" s="142">
        <v>42984</v>
      </c>
      <c r="B6" s="139">
        <v>9.36</v>
      </c>
      <c r="C6" s="139">
        <v>10.115</v>
      </c>
      <c r="D6" s="135"/>
    </row>
    <row r="7" spans="1:4" ht="15.75">
      <c r="A7" s="142">
        <v>42985</v>
      </c>
      <c r="B7" s="139">
        <v>9.34</v>
      </c>
      <c r="C7" s="139">
        <v>10.11</v>
      </c>
      <c r="D7" s="135"/>
    </row>
    <row r="8" spans="1:4" ht="15.75">
      <c r="A8" s="142">
        <v>42986</v>
      </c>
      <c r="B8" s="139">
        <v>9.28</v>
      </c>
      <c r="C8" s="139">
        <v>10.02</v>
      </c>
      <c r="D8" s="135"/>
    </row>
    <row r="9" spans="1:4" ht="15.75">
      <c r="A9" s="142">
        <v>42989</v>
      </c>
      <c r="B9" s="139">
        <v>9.29</v>
      </c>
      <c r="C9" s="139">
        <v>9.995000000000001</v>
      </c>
      <c r="D9" s="135"/>
    </row>
    <row r="10" spans="1:4" ht="15.75">
      <c r="A10" s="142">
        <v>42990</v>
      </c>
      <c r="B10" s="139">
        <v>9.21</v>
      </c>
      <c r="C10" s="139">
        <v>9.899999999999999</v>
      </c>
      <c r="D10" s="135"/>
    </row>
    <row r="11" spans="1:4" ht="15.75">
      <c r="A11" s="142">
        <v>42991</v>
      </c>
      <c r="B11" s="139">
        <v>9.32</v>
      </c>
      <c r="C11" s="139">
        <v>10.04</v>
      </c>
      <c r="D11" s="135"/>
    </row>
    <row r="12" spans="1:4" ht="15.75">
      <c r="A12" s="142">
        <v>42992</v>
      </c>
      <c r="B12" s="139">
        <v>9.46</v>
      </c>
      <c r="C12" s="139">
        <v>10.219999999999999</v>
      </c>
      <c r="D12" s="135"/>
    </row>
    <row r="13" spans="1:4" ht="15.75">
      <c r="A13" s="142">
        <v>42993</v>
      </c>
      <c r="B13" s="139">
        <v>9.42</v>
      </c>
      <c r="C13" s="139">
        <v>10.135</v>
      </c>
      <c r="D13" s="135"/>
    </row>
    <row r="14" spans="1:4" ht="15.75">
      <c r="A14" s="142">
        <v>42996</v>
      </c>
      <c r="B14" s="139">
        <v>9.4</v>
      </c>
      <c r="C14" s="139">
        <v>10.105</v>
      </c>
      <c r="D14" s="135"/>
    </row>
    <row r="15" spans="1:4" ht="15.75">
      <c r="A15" s="142">
        <v>42997</v>
      </c>
      <c r="B15" s="139">
        <v>9.36</v>
      </c>
      <c r="C15" s="139">
        <v>10.08</v>
      </c>
      <c r="D15" s="135"/>
    </row>
    <row r="16" spans="1:4" ht="15.75">
      <c r="A16" s="142">
        <v>42998</v>
      </c>
      <c r="B16" s="139">
        <v>9.4</v>
      </c>
      <c r="C16" s="139">
        <v>10.16</v>
      </c>
      <c r="D16" s="135"/>
    </row>
    <row r="17" spans="1:4" ht="15.75">
      <c r="A17" s="142">
        <v>42999</v>
      </c>
      <c r="B17" s="139">
        <v>9.42</v>
      </c>
      <c r="C17" s="139">
        <v>10.2</v>
      </c>
      <c r="D17" s="135"/>
    </row>
    <row r="18" spans="1:4" ht="15.75">
      <c r="A18" s="142">
        <v>43000</v>
      </c>
      <c r="B18" s="139">
        <v>9.54</v>
      </c>
      <c r="C18" s="139">
        <v>10.344999999999999</v>
      </c>
      <c r="D18" s="135"/>
    </row>
    <row r="19" spans="1:4" ht="15.75">
      <c r="A19" s="142">
        <v>43003</v>
      </c>
      <c r="B19" s="139">
        <v>9.34</v>
      </c>
      <c r="C19" s="139">
        <v>10.14</v>
      </c>
      <c r="D19" s="135"/>
    </row>
    <row r="20" spans="1:3" ht="12.75">
      <c r="A20" s="142">
        <v>43004</v>
      </c>
      <c r="B20" s="139">
        <v>9.26</v>
      </c>
      <c r="C20" s="139">
        <v>10.05</v>
      </c>
    </row>
    <row r="21" spans="1:3" ht="12.75">
      <c r="A21" s="142">
        <v>43005</v>
      </c>
      <c r="B21" s="139">
        <v>9.27</v>
      </c>
      <c r="C21" s="139">
        <v>10.08</v>
      </c>
    </row>
    <row r="22" spans="1:3" ht="12.75">
      <c r="A22" s="142">
        <v>43006</v>
      </c>
      <c r="B22" s="139">
        <v>9.2</v>
      </c>
      <c r="C22" s="139">
        <v>10.059999999999999</v>
      </c>
    </row>
    <row r="23" spans="1:3" ht="12.75">
      <c r="A23" s="142">
        <v>43007</v>
      </c>
      <c r="B23" s="139">
        <v>9.26</v>
      </c>
      <c r="C23" s="139">
        <v>10.145</v>
      </c>
    </row>
    <row r="24" spans="1:3" ht="12.75">
      <c r="A24" s="142">
        <v>43010</v>
      </c>
      <c r="B24" s="139">
        <v>9.15</v>
      </c>
      <c r="C24" s="139">
        <v>10.024999999999999</v>
      </c>
    </row>
    <row r="25" spans="1:3" ht="12.75">
      <c r="A25" s="142">
        <v>43011</v>
      </c>
      <c r="B25" s="139">
        <v>9.11</v>
      </c>
      <c r="C25" s="139">
        <v>10.004999999999999</v>
      </c>
    </row>
    <row r="26" spans="1:3" ht="12.75">
      <c r="A26" s="142">
        <v>43012</v>
      </c>
      <c r="B26" s="139">
        <v>9.13</v>
      </c>
      <c r="C26" s="139">
        <v>9.95</v>
      </c>
    </row>
    <row r="27" spans="1:3" ht="12.75">
      <c r="A27" s="142">
        <v>43013</v>
      </c>
      <c r="B27" s="139">
        <v>9.23</v>
      </c>
      <c r="C27" s="139">
        <v>10.05</v>
      </c>
    </row>
    <row r="28" spans="1:3" ht="12.75">
      <c r="A28" s="142">
        <v>43014</v>
      </c>
      <c r="B28" s="139">
        <v>9.27</v>
      </c>
      <c r="C28" s="139">
        <v>10.09</v>
      </c>
    </row>
    <row r="29" spans="1:3" ht="12.75">
      <c r="A29" s="142">
        <v>43018</v>
      </c>
      <c r="B29" s="139">
        <v>9.24</v>
      </c>
      <c r="C29" s="139">
        <v>10</v>
      </c>
    </row>
    <row r="30" spans="1:3" ht="12.75">
      <c r="A30" s="142">
        <v>43019</v>
      </c>
      <c r="B30" s="139">
        <v>9.22</v>
      </c>
      <c r="C30" s="139">
        <v>9.955</v>
      </c>
    </row>
    <row r="31" spans="1:3" ht="12.75">
      <c r="A31" s="142">
        <v>43020</v>
      </c>
      <c r="B31" s="139">
        <v>9.48</v>
      </c>
      <c r="C31" s="139">
        <v>10.19</v>
      </c>
    </row>
    <row r="32" spans="1:3" ht="12.75">
      <c r="A32" s="142">
        <v>43021</v>
      </c>
      <c r="B32" s="139">
        <v>9.53</v>
      </c>
      <c r="C32" s="139">
        <v>10.29</v>
      </c>
    </row>
    <row r="33" spans="1:3" ht="12.75">
      <c r="A33" s="142">
        <v>43024</v>
      </c>
      <c r="B33" s="139">
        <v>9.48</v>
      </c>
      <c r="C33" s="139">
        <v>10.23</v>
      </c>
    </row>
    <row r="34" spans="1:3" ht="12.75">
      <c r="A34" s="142">
        <v>43025</v>
      </c>
      <c r="B34" s="139">
        <v>9.43</v>
      </c>
      <c r="C34" s="139">
        <v>10.14</v>
      </c>
    </row>
    <row r="35" spans="1:3" ht="12.75">
      <c r="A35" s="142">
        <v>43026</v>
      </c>
      <c r="B35" s="139">
        <v>9.42</v>
      </c>
      <c r="C35" s="139">
        <v>10.120000000000001</v>
      </c>
    </row>
    <row r="36" spans="1:3" ht="12.75">
      <c r="A36" s="142">
        <v>43027</v>
      </c>
      <c r="B36" s="139">
        <v>9.45</v>
      </c>
      <c r="C36" s="139">
        <v>10.14</v>
      </c>
    </row>
    <row r="37" spans="1:3" ht="12.75">
      <c r="A37" s="142">
        <v>43028</v>
      </c>
      <c r="B37" s="139">
        <v>9.37</v>
      </c>
      <c r="C37" s="139">
        <v>10.045</v>
      </c>
    </row>
    <row r="38" spans="1:3" ht="12.75">
      <c r="A38" s="142">
        <v>43031</v>
      </c>
      <c r="B38" s="139">
        <v>9.36</v>
      </c>
      <c r="C38" s="139">
        <v>10.065</v>
      </c>
    </row>
    <row r="39" spans="1:3" ht="12.75">
      <c r="A39" s="142">
        <v>43032</v>
      </c>
      <c r="B39" s="139">
        <v>9.32</v>
      </c>
      <c r="C39" s="139">
        <v>10</v>
      </c>
    </row>
    <row r="40" spans="1:3" ht="12.75">
      <c r="A40" s="142">
        <v>43033</v>
      </c>
      <c r="B40" s="139">
        <v>9.33</v>
      </c>
      <c r="C40" s="139">
        <v>9.94</v>
      </c>
    </row>
    <row r="41" spans="1:3" ht="12.75">
      <c r="A41" s="142">
        <v>43034</v>
      </c>
      <c r="B41" s="139">
        <v>9.27</v>
      </c>
      <c r="C41" s="139">
        <v>9.9</v>
      </c>
    </row>
    <row r="42" spans="1:3" ht="12.75">
      <c r="A42" s="142">
        <v>43035</v>
      </c>
      <c r="B42" s="139">
        <v>9.33</v>
      </c>
      <c r="C42" s="139">
        <v>9.955</v>
      </c>
    </row>
    <row r="43" spans="1:3" ht="12.75">
      <c r="A43" s="142">
        <v>43038</v>
      </c>
      <c r="B43" s="139">
        <v>9.32</v>
      </c>
      <c r="C43" s="139">
        <v>9.945</v>
      </c>
    </row>
    <row r="44" spans="1:3" ht="12.75">
      <c r="A44" s="142">
        <v>43039</v>
      </c>
      <c r="B44" s="139">
        <v>9.32</v>
      </c>
      <c r="C44" s="139">
        <v>9.955</v>
      </c>
    </row>
    <row r="45" spans="1:3" ht="12.75">
      <c r="A45" s="142">
        <v>43040</v>
      </c>
      <c r="B45" s="139">
        <v>9.4</v>
      </c>
      <c r="C45" s="139">
        <v>10.08</v>
      </c>
    </row>
    <row r="46" spans="1:3" ht="12.75">
      <c r="A46" s="142">
        <v>43041</v>
      </c>
      <c r="B46" s="139">
        <v>9.48</v>
      </c>
      <c r="C46" s="139">
        <v>10.045</v>
      </c>
    </row>
    <row r="47" spans="1:3" ht="12.75">
      <c r="A47" s="142">
        <v>43042</v>
      </c>
      <c r="B47" s="139">
        <v>9.35</v>
      </c>
      <c r="C47" s="139">
        <v>9.934999999999999</v>
      </c>
    </row>
    <row r="48" spans="1:3" ht="12.75">
      <c r="A48" s="142">
        <v>43045</v>
      </c>
      <c r="B48" s="139">
        <v>9.47</v>
      </c>
      <c r="C48" s="139">
        <v>10</v>
      </c>
    </row>
    <row r="49" spans="1:3" ht="12.75">
      <c r="A49" s="142">
        <v>43046</v>
      </c>
      <c r="B49" s="139">
        <v>9.44</v>
      </c>
      <c r="C49" s="139">
        <v>10.059999999999999</v>
      </c>
    </row>
    <row r="50" spans="1:3" ht="12.75">
      <c r="A50" s="142">
        <v>43047</v>
      </c>
      <c r="B50" s="139">
        <v>9.49</v>
      </c>
      <c r="C50" s="139">
        <v>10.085</v>
      </c>
    </row>
    <row r="51" spans="1:3" ht="12.75">
      <c r="A51" s="142">
        <v>43048</v>
      </c>
      <c r="B51" s="139">
        <v>9.34</v>
      </c>
      <c r="C51" s="139">
        <v>9.98</v>
      </c>
    </row>
    <row r="52" spans="1:3" ht="12.75">
      <c r="A52" s="142">
        <v>43049</v>
      </c>
      <c r="B52" s="139">
        <v>9.36</v>
      </c>
      <c r="C52" s="139">
        <v>10.01</v>
      </c>
    </row>
    <row r="53" spans="1:3" ht="12.75">
      <c r="A53" s="142">
        <v>43052</v>
      </c>
      <c r="B53" s="139">
        <v>9.26</v>
      </c>
      <c r="C53" s="139">
        <v>9.92</v>
      </c>
    </row>
    <row r="54" spans="1:3" ht="12.75">
      <c r="A54" s="142">
        <v>43053</v>
      </c>
      <c r="B54" s="139">
        <v>9.18</v>
      </c>
      <c r="C54" s="139">
        <v>9.875</v>
      </c>
    </row>
    <row r="55" spans="1:3" ht="12.75">
      <c r="A55" s="142">
        <v>43054</v>
      </c>
      <c r="B55" s="139">
        <v>9.28</v>
      </c>
      <c r="C55" s="139">
        <v>10.035</v>
      </c>
    </row>
    <row r="56" spans="1:3" ht="12.75">
      <c r="A56" s="142">
        <v>43055</v>
      </c>
      <c r="B56" s="139">
        <v>9.24</v>
      </c>
      <c r="C56" s="139">
        <v>9.989999999999998</v>
      </c>
    </row>
    <row r="57" spans="1:3" ht="12.75">
      <c r="A57" s="142">
        <v>43056</v>
      </c>
      <c r="B57" s="139">
        <v>9.4</v>
      </c>
      <c r="C57" s="139">
        <v>10.16</v>
      </c>
    </row>
    <row r="58" spans="1:3" ht="12.75">
      <c r="A58" s="142">
        <v>43059</v>
      </c>
      <c r="B58" s="139">
        <v>9.4</v>
      </c>
      <c r="C58" s="139">
        <v>10.145</v>
      </c>
    </row>
    <row r="59" spans="1:3" ht="12.75">
      <c r="A59" s="142">
        <v>43060</v>
      </c>
      <c r="B59" s="139">
        <v>9.5</v>
      </c>
      <c r="C59" s="139">
        <v>10.11</v>
      </c>
    </row>
    <row r="60" spans="1:3" ht="12.75">
      <c r="A60" s="142">
        <v>43061</v>
      </c>
      <c r="B60" s="139">
        <v>9.58</v>
      </c>
      <c r="C60" s="139">
        <v>10.19</v>
      </c>
    </row>
    <row r="61" spans="1:3" ht="12.75">
      <c r="A61" s="142">
        <v>43066</v>
      </c>
      <c r="B61" s="139">
        <v>9.58</v>
      </c>
      <c r="C61" s="139">
        <v>10.18</v>
      </c>
    </row>
    <row r="62" spans="1:3" ht="12.75">
      <c r="A62" s="142">
        <v>43067</v>
      </c>
      <c r="B62" s="139">
        <v>9.55</v>
      </c>
      <c r="C62" s="139">
        <v>10.15</v>
      </c>
    </row>
    <row r="63" spans="1:3" ht="12.75">
      <c r="A63" s="142">
        <v>43068</v>
      </c>
      <c r="B63" s="139">
        <v>9.54</v>
      </c>
      <c r="C63" s="139">
        <v>10.15</v>
      </c>
    </row>
    <row r="64" spans="1:3" ht="12.75">
      <c r="A64" s="142">
        <v>43069</v>
      </c>
      <c r="B64" s="139">
        <v>9.47</v>
      </c>
      <c r="C64" s="139">
        <v>10.08</v>
      </c>
    </row>
    <row r="65" spans="1:3" ht="12.75">
      <c r="A65" s="142">
        <v>43070</v>
      </c>
      <c r="B65" s="139">
        <v>9.58</v>
      </c>
      <c r="C65" s="139">
        <v>10.235</v>
      </c>
    </row>
    <row r="66" spans="1:3" ht="12.75">
      <c r="A66" s="142">
        <v>43073</v>
      </c>
      <c r="B66" s="139">
        <v>9.62</v>
      </c>
      <c r="C66" s="139">
        <v>10.27</v>
      </c>
    </row>
    <row r="67" spans="1:3" ht="12.75">
      <c r="A67" s="142">
        <v>43074</v>
      </c>
      <c r="B67" s="139">
        <v>9.73</v>
      </c>
      <c r="C67" s="139">
        <v>10.29</v>
      </c>
    </row>
    <row r="68" spans="1:3" ht="12.75">
      <c r="A68" s="142">
        <v>43075</v>
      </c>
      <c r="B68" s="139">
        <v>9.67</v>
      </c>
      <c r="C68" s="139">
        <v>10.23</v>
      </c>
    </row>
    <row r="69" spans="1:3" ht="12.75">
      <c r="A69" s="142">
        <v>43076</v>
      </c>
      <c r="B69" s="139">
        <v>9.57</v>
      </c>
      <c r="C69" s="139">
        <v>10.120000000000001</v>
      </c>
    </row>
    <row r="70" spans="1:3" ht="12.75">
      <c r="A70" s="142">
        <v>43077</v>
      </c>
      <c r="B70" s="139">
        <v>9.54</v>
      </c>
      <c r="C70" s="139">
        <v>10.11</v>
      </c>
    </row>
    <row r="71" spans="1:3" ht="12.75">
      <c r="A71" s="142">
        <v>43080</v>
      </c>
      <c r="B71" s="139">
        <v>9.47</v>
      </c>
      <c r="C71" s="139">
        <v>10.04</v>
      </c>
    </row>
    <row r="72" spans="1:3" ht="12.75">
      <c r="A72" s="142">
        <v>43081</v>
      </c>
      <c r="B72" s="139">
        <v>9.42</v>
      </c>
      <c r="C72" s="139">
        <v>9.98</v>
      </c>
    </row>
    <row r="73" spans="1:3" ht="12.75">
      <c r="A73" s="142">
        <v>43082</v>
      </c>
      <c r="B73" s="139">
        <v>9.42</v>
      </c>
      <c r="C73" s="139">
        <v>10.025</v>
      </c>
    </row>
    <row r="74" spans="1:3" ht="12.75">
      <c r="A74" s="142">
        <v>43083</v>
      </c>
      <c r="B74" s="139">
        <v>9.34</v>
      </c>
      <c r="C74" s="139">
        <v>9.920000000000002</v>
      </c>
    </row>
    <row r="75" spans="1:3" ht="12.75">
      <c r="A75" s="142">
        <v>43084</v>
      </c>
      <c r="B75" s="139">
        <v>9.33</v>
      </c>
      <c r="C75" s="139">
        <v>9.934999999999999</v>
      </c>
    </row>
    <row r="76" spans="1:3" ht="12.75">
      <c r="A76" s="142">
        <v>43087</v>
      </c>
      <c r="B76" s="139">
        <v>9.28</v>
      </c>
      <c r="C76" s="139">
        <v>9.879999999999999</v>
      </c>
    </row>
    <row r="77" spans="1:3" ht="12.75">
      <c r="A77" s="142">
        <v>43088</v>
      </c>
      <c r="B77" s="139">
        <v>9.2</v>
      </c>
      <c r="C77" s="139">
        <v>9.84</v>
      </c>
    </row>
    <row r="78" spans="1:3" ht="12.75">
      <c r="A78" s="142">
        <v>43089</v>
      </c>
      <c r="B78" s="139">
        <v>9.2</v>
      </c>
      <c r="C78" s="139">
        <v>9.825</v>
      </c>
    </row>
    <row r="79" spans="1:3" ht="12.75">
      <c r="A79" s="142">
        <v>43090</v>
      </c>
      <c r="B79" s="139">
        <v>9.15</v>
      </c>
      <c r="C79" s="139">
        <v>9.79</v>
      </c>
    </row>
    <row r="80" spans="1:3" ht="12.75">
      <c r="A80" s="142">
        <v>43091</v>
      </c>
      <c r="B80" s="139">
        <v>9.14</v>
      </c>
      <c r="C80" s="139">
        <v>9.79</v>
      </c>
    </row>
    <row r="81" spans="1:3" ht="12.75">
      <c r="A81" s="142">
        <v>43095</v>
      </c>
      <c r="B81" s="139">
        <v>9.28</v>
      </c>
      <c r="C81" s="139">
        <v>9.905000000000001</v>
      </c>
    </row>
    <row r="82" spans="1:3" ht="12.75">
      <c r="A82" s="142">
        <v>43096</v>
      </c>
      <c r="B82" s="139">
        <v>9.23</v>
      </c>
      <c r="C82" s="139">
        <v>9.86</v>
      </c>
    </row>
    <row r="83" spans="1:3" ht="12.75">
      <c r="A83" s="142">
        <v>43097</v>
      </c>
      <c r="B83" s="139">
        <v>9.14</v>
      </c>
      <c r="C83" s="139">
        <v>9.765</v>
      </c>
    </row>
    <row r="84" spans="1:3" ht="12.75">
      <c r="A84" s="142">
        <v>43098</v>
      </c>
      <c r="B84" s="139">
        <v>9.19</v>
      </c>
      <c r="C84" s="139">
        <v>9.870000000000001</v>
      </c>
    </row>
    <row r="85" spans="1:3" ht="12.75">
      <c r="A85" s="142">
        <v>43102</v>
      </c>
      <c r="B85" s="139">
        <v>9.24</v>
      </c>
      <c r="C85" s="139">
        <v>9.9</v>
      </c>
    </row>
    <row r="86" spans="1:3" ht="12.75">
      <c r="A86" s="142">
        <v>43103</v>
      </c>
      <c r="B86" s="139">
        <v>9.28</v>
      </c>
      <c r="C86" s="139">
        <v>9.945</v>
      </c>
    </row>
    <row r="87" spans="1:3" ht="12.75">
      <c r="A87" s="142">
        <v>43104</v>
      </c>
      <c r="B87" s="139">
        <v>9.3</v>
      </c>
      <c r="C87" s="139">
        <v>10.105</v>
      </c>
    </row>
    <row r="88" spans="1:3" ht="12.75">
      <c r="A88" s="142">
        <v>43105</v>
      </c>
      <c r="B88" s="139">
        <v>9.32</v>
      </c>
      <c r="C88" s="139">
        <v>10.155000000000001</v>
      </c>
    </row>
    <row r="89" spans="1:3" ht="12.75">
      <c r="A89" s="142">
        <v>43108</v>
      </c>
      <c r="B89" s="139">
        <v>9.28</v>
      </c>
      <c r="C89" s="139">
        <v>10.120000000000001</v>
      </c>
    </row>
    <row r="90" spans="1:3" ht="12.75">
      <c r="A90" s="142">
        <v>43109</v>
      </c>
      <c r="B90" s="139">
        <v>9.3</v>
      </c>
      <c r="C90" s="139">
        <v>10.059999999999999</v>
      </c>
    </row>
    <row r="91" spans="1:3" ht="12.75">
      <c r="A91" s="142">
        <v>43110</v>
      </c>
      <c r="B91" s="139">
        <v>9.15</v>
      </c>
      <c r="C91" s="139">
        <v>9.969999999999999</v>
      </c>
    </row>
    <row r="92" spans="1:3" ht="12.75">
      <c r="A92" s="142">
        <v>43111</v>
      </c>
      <c r="B92" s="139">
        <v>9.1</v>
      </c>
      <c r="C92" s="139">
        <v>9.925</v>
      </c>
    </row>
    <row r="93" spans="1:3" ht="12.75">
      <c r="A93" s="142">
        <v>43112</v>
      </c>
      <c r="B93" s="139">
        <v>9.22</v>
      </c>
      <c r="C93" s="139">
        <v>10.05</v>
      </c>
    </row>
    <row r="94" spans="1:3" ht="12.75">
      <c r="A94" s="142">
        <v>43116</v>
      </c>
      <c r="B94" s="139">
        <v>9.29</v>
      </c>
      <c r="C94" s="139">
        <v>10.120000000000001</v>
      </c>
    </row>
    <row r="95" spans="1:3" ht="12.75">
      <c r="A95" s="142">
        <v>43117</v>
      </c>
      <c r="B95" s="139">
        <v>9.31</v>
      </c>
      <c r="C95" s="139">
        <v>10.11</v>
      </c>
    </row>
    <row r="96" spans="1:3" ht="12.75">
      <c r="A96" s="142">
        <v>43118</v>
      </c>
      <c r="B96" s="139">
        <v>9.39</v>
      </c>
      <c r="C96" s="139">
        <v>10.155000000000001</v>
      </c>
    </row>
    <row r="97" spans="1:3" ht="12.75">
      <c r="A97" s="142">
        <v>43119</v>
      </c>
      <c r="B97" s="139">
        <v>9.44</v>
      </c>
      <c r="C97" s="139">
        <v>10.190000000000001</v>
      </c>
    </row>
    <row r="98" spans="1:3" ht="12.75">
      <c r="A98" s="142">
        <v>43122</v>
      </c>
      <c r="B98" s="139">
        <v>9.51</v>
      </c>
      <c r="C98" s="139">
        <v>10.245000000000001</v>
      </c>
    </row>
    <row r="99" spans="1:3" ht="12.75">
      <c r="A99" s="142">
        <v>43123</v>
      </c>
      <c r="B99" s="139">
        <v>9.52</v>
      </c>
      <c r="C99" s="139">
        <v>10.255</v>
      </c>
    </row>
    <row r="100" spans="1:3" ht="12.75">
      <c r="A100" s="142">
        <v>43124</v>
      </c>
      <c r="B100" s="139">
        <v>9.57</v>
      </c>
      <c r="C100" s="139">
        <v>10.265</v>
      </c>
    </row>
    <row r="101" spans="1:3" ht="12.75">
      <c r="A101" s="142">
        <v>43125</v>
      </c>
      <c r="B101" s="139">
        <v>9.58</v>
      </c>
      <c r="C101" s="139">
        <v>10.275</v>
      </c>
    </row>
    <row r="102" spans="1:3" ht="12.75">
      <c r="A102" s="142">
        <v>43126</v>
      </c>
      <c r="B102" s="139">
        <v>9.5</v>
      </c>
      <c r="C102" s="139">
        <v>10.219999999999999</v>
      </c>
    </row>
    <row r="103" spans="1:3" ht="12.75">
      <c r="A103" s="142">
        <v>43129</v>
      </c>
      <c r="B103" s="139">
        <v>9.56</v>
      </c>
      <c r="C103" s="139">
        <v>10.27</v>
      </c>
    </row>
    <row r="104" spans="1:3" ht="12.75">
      <c r="A104" s="142">
        <v>43130</v>
      </c>
      <c r="B104" s="139">
        <v>9.65</v>
      </c>
      <c r="C104" s="139">
        <v>10.365</v>
      </c>
    </row>
    <row r="105" spans="1:3" ht="12.75">
      <c r="A105" s="142">
        <v>43131</v>
      </c>
      <c r="B105" s="139">
        <v>9.61</v>
      </c>
      <c r="C105" s="139">
        <v>10.325</v>
      </c>
    </row>
    <row r="106" spans="1:3" ht="12.75">
      <c r="A106" s="142">
        <v>43132</v>
      </c>
      <c r="B106" s="139">
        <v>9.5</v>
      </c>
      <c r="C106" s="139">
        <v>10.184999999999999</v>
      </c>
    </row>
    <row r="107" spans="1:3" ht="12.75">
      <c r="A107" s="142">
        <v>43133</v>
      </c>
      <c r="B107" s="139">
        <v>9.44</v>
      </c>
      <c r="C107" s="139">
        <v>10.155000000000001</v>
      </c>
    </row>
    <row r="108" spans="1:3" ht="12.75">
      <c r="A108" s="142">
        <v>43136</v>
      </c>
      <c r="B108" s="139">
        <v>9.36</v>
      </c>
      <c r="C108" s="139">
        <v>10.06</v>
      </c>
    </row>
    <row r="109" spans="1:3" ht="12.75">
      <c r="A109" s="142">
        <v>43137</v>
      </c>
      <c r="B109" s="139">
        <v>9.53</v>
      </c>
      <c r="C109" s="139">
        <v>10.215</v>
      </c>
    </row>
    <row r="110" spans="1:3" ht="12.75">
      <c r="A110" s="142">
        <v>43138</v>
      </c>
      <c r="B110" s="139">
        <v>9.48</v>
      </c>
      <c r="C110" s="139">
        <v>10.184999999999999</v>
      </c>
    </row>
    <row r="111" spans="1:3" ht="12.75">
      <c r="A111" s="142">
        <v>43139</v>
      </c>
      <c r="B111" s="139">
        <v>9.52</v>
      </c>
      <c r="C111" s="139">
        <v>10.22</v>
      </c>
    </row>
    <row r="112" spans="1:3" ht="12.75">
      <c r="A112" s="142">
        <v>43140</v>
      </c>
      <c r="B112" s="139">
        <v>9.47</v>
      </c>
      <c r="C112" s="139">
        <v>10.19</v>
      </c>
    </row>
    <row r="113" spans="1:3" ht="12.75">
      <c r="A113" s="142">
        <v>43143</v>
      </c>
      <c r="B113" s="139">
        <v>9.68</v>
      </c>
      <c r="C113" s="139">
        <v>10.375</v>
      </c>
    </row>
    <row r="114" spans="1:3" ht="12.75">
      <c r="A114" s="142">
        <v>43144</v>
      </c>
      <c r="B114" s="139">
        <v>9.83</v>
      </c>
      <c r="C114" s="139">
        <v>10.475000000000001</v>
      </c>
    </row>
    <row r="115" spans="1:3" ht="12.75">
      <c r="A115" s="142">
        <v>43145</v>
      </c>
      <c r="B115" s="139">
        <v>9.84</v>
      </c>
      <c r="C115" s="139">
        <v>10.524999999999999</v>
      </c>
    </row>
    <row r="116" spans="1:3" ht="12.75">
      <c r="A116" s="142">
        <v>43146</v>
      </c>
      <c r="B116" s="139">
        <v>9.92</v>
      </c>
      <c r="C116" s="139">
        <v>10.594999999999999</v>
      </c>
    </row>
    <row r="117" spans="1:3" ht="12.75">
      <c r="A117" s="142">
        <v>43147</v>
      </c>
      <c r="B117" s="139">
        <v>9.85</v>
      </c>
      <c r="C117" s="139">
        <v>10.54</v>
      </c>
    </row>
    <row r="118" spans="1:3" ht="12.75">
      <c r="A118" s="142">
        <v>43151</v>
      </c>
      <c r="B118" s="139">
        <v>9.9</v>
      </c>
      <c r="C118" s="139">
        <v>10.59</v>
      </c>
    </row>
    <row r="119" spans="1:3" ht="12.75">
      <c r="A119" s="142">
        <v>43152</v>
      </c>
      <c r="B119" s="139">
        <v>9.97</v>
      </c>
      <c r="C119" s="139">
        <v>10.665</v>
      </c>
    </row>
    <row r="120" spans="1:3" ht="12.75">
      <c r="A120" s="142">
        <v>43153</v>
      </c>
      <c r="B120" s="139">
        <v>9.95</v>
      </c>
      <c r="C120" s="139">
        <v>10.675</v>
      </c>
    </row>
    <row r="121" spans="1:3" ht="12.75">
      <c r="A121" s="142">
        <v>43154</v>
      </c>
      <c r="B121" s="139">
        <v>9.99</v>
      </c>
      <c r="C121" s="139">
        <v>10.715</v>
      </c>
    </row>
    <row r="122" spans="1:3" ht="12.75">
      <c r="A122" s="142">
        <v>43157</v>
      </c>
      <c r="B122" s="139">
        <v>9.95</v>
      </c>
      <c r="C122" s="139">
        <v>10.75</v>
      </c>
    </row>
    <row r="123" spans="1:3" ht="12.75">
      <c r="A123" s="142">
        <v>43158</v>
      </c>
      <c r="B123" s="139">
        <v>10.03</v>
      </c>
      <c r="C123" s="139">
        <v>10.79</v>
      </c>
    </row>
    <row r="124" spans="1:3" ht="12.75">
      <c r="A124" s="142">
        <v>43159</v>
      </c>
      <c r="B124" s="139">
        <v>10.1</v>
      </c>
      <c r="C124" s="139">
        <v>10.89</v>
      </c>
    </row>
    <row r="125" spans="1:3" ht="12.75">
      <c r="A125" s="142">
        <v>43160</v>
      </c>
      <c r="B125" s="139">
        <v>10.25</v>
      </c>
      <c r="C125" s="139">
        <v>11.01</v>
      </c>
    </row>
    <row r="126" spans="1:3" ht="12.75">
      <c r="A126" s="142">
        <v>43161</v>
      </c>
      <c r="B126" s="139">
        <v>10.27</v>
      </c>
      <c r="C126" s="139">
        <v>11.085</v>
      </c>
    </row>
    <row r="127" spans="1:3" ht="12.75">
      <c r="A127" s="142">
        <v>43164</v>
      </c>
      <c r="B127" s="139">
        <v>10.34</v>
      </c>
      <c r="C127" s="139">
        <v>11.17</v>
      </c>
    </row>
    <row r="128" spans="1:3" ht="12.75">
      <c r="A128" s="142">
        <v>43165</v>
      </c>
      <c r="B128" s="139">
        <v>10.31</v>
      </c>
      <c r="C128" s="139">
        <v>11.16</v>
      </c>
    </row>
    <row r="129" spans="1:3" ht="12.75">
      <c r="A129" s="142">
        <v>43166</v>
      </c>
      <c r="B129" s="139">
        <v>10.2</v>
      </c>
      <c r="C129" s="139">
        <v>11.065000000000001</v>
      </c>
    </row>
    <row r="130" spans="1:3" ht="12.75">
      <c r="A130" s="142">
        <v>43167</v>
      </c>
      <c r="B130" s="139">
        <v>10.19</v>
      </c>
      <c r="C130" s="139">
        <v>11.045</v>
      </c>
    </row>
    <row r="131" spans="1:3" ht="12.75">
      <c r="A131" s="142">
        <v>43168</v>
      </c>
      <c r="B131" s="139">
        <v>9.88</v>
      </c>
      <c r="C131" s="16">
        <f>C130+B131-B130</f>
        <v>10.735000000000001</v>
      </c>
    </row>
    <row r="132" spans="1:3" ht="12.75">
      <c r="A132" s="142">
        <v>43171</v>
      </c>
      <c r="B132" s="139">
        <v>9.9</v>
      </c>
      <c r="C132" s="139">
        <v>10.795</v>
      </c>
    </row>
    <row r="133" spans="1:3" ht="12.75">
      <c r="A133" s="142">
        <v>43172</v>
      </c>
      <c r="B133" s="139">
        <v>9.98</v>
      </c>
      <c r="C133" s="139">
        <v>10.870000000000001</v>
      </c>
    </row>
    <row r="134" spans="1:3" ht="12.75">
      <c r="A134" s="142">
        <v>43173</v>
      </c>
      <c r="B134" s="139">
        <v>9.81</v>
      </c>
      <c r="C134" s="139">
        <v>10.695</v>
      </c>
    </row>
    <row r="135" spans="1:3" ht="12.75">
      <c r="A135" s="142">
        <v>43174</v>
      </c>
      <c r="B135" s="139">
        <v>9.9</v>
      </c>
      <c r="C135" s="139">
        <v>10.735</v>
      </c>
    </row>
    <row r="136" spans="1:3" ht="12.75">
      <c r="A136" s="142">
        <v>43175</v>
      </c>
      <c r="B136" s="139">
        <v>9.99</v>
      </c>
      <c r="C136" s="139">
        <v>10.8</v>
      </c>
    </row>
    <row r="137" spans="1:3" ht="12.75">
      <c r="A137" s="142">
        <v>43178</v>
      </c>
      <c r="B137" s="139">
        <v>9.72</v>
      </c>
      <c r="C137" s="139">
        <v>10.57</v>
      </c>
    </row>
    <row r="138" spans="1:3" ht="12.75">
      <c r="A138" s="142">
        <v>43179</v>
      </c>
      <c r="B138" s="139">
        <v>9.76</v>
      </c>
      <c r="C138" s="139">
        <v>10.620000000000001</v>
      </c>
    </row>
    <row r="139" spans="1:3" ht="12.75">
      <c r="A139" s="142">
        <v>43180</v>
      </c>
      <c r="B139" s="139">
        <v>9.78</v>
      </c>
      <c r="C139" s="139">
        <v>10.635</v>
      </c>
    </row>
    <row r="140" spans="1:3" ht="12.75">
      <c r="A140" s="142">
        <v>43181</v>
      </c>
      <c r="B140" s="139">
        <v>9.8</v>
      </c>
      <c r="C140" s="139">
        <v>10.625</v>
      </c>
    </row>
    <row r="141" spans="1:3" ht="12.75">
      <c r="A141" s="142">
        <v>43182</v>
      </c>
      <c r="B141" s="139">
        <v>9.78</v>
      </c>
      <c r="C141" s="139">
        <v>10.605</v>
      </c>
    </row>
    <row r="142" spans="1:3" ht="12.75">
      <c r="A142" s="142">
        <v>43185</v>
      </c>
      <c r="B142" s="139">
        <v>9.72</v>
      </c>
      <c r="C142" s="139">
        <v>10.6</v>
      </c>
    </row>
    <row r="143" spans="1:3" ht="12.75">
      <c r="A143" s="142">
        <v>43186</v>
      </c>
      <c r="B143" s="139">
        <v>9.72</v>
      </c>
      <c r="C143" s="139">
        <v>10.52</v>
      </c>
    </row>
    <row r="144" spans="1:3" ht="12.75">
      <c r="A144" s="142">
        <v>43187</v>
      </c>
      <c r="B144" s="139">
        <v>9.7</v>
      </c>
      <c r="C144" s="139">
        <v>10.524999999999999</v>
      </c>
    </row>
    <row r="145" spans="1:3" ht="12.75">
      <c r="A145" s="142">
        <v>43188</v>
      </c>
      <c r="B145" s="139">
        <v>9.92</v>
      </c>
      <c r="C145" s="139">
        <v>10.82</v>
      </c>
    </row>
    <row r="146" spans="1:3" ht="12.75">
      <c r="A146" s="142">
        <v>43192</v>
      </c>
      <c r="B146" s="139">
        <v>9.86</v>
      </c>
      <c r="C146" s="139">
        <v>10.75</v>
      </c>
    </row>
    <row r="147" spans="1:3" ht="12.75">
      <c r="A147" s="142">
        <v>43193</v>
      </c>
      <c r="B147" s="139">
        <v>9.88</v>
      </c>
      <c r="C147" s="139">
        <v>10.785</v>
      </c>
    </row>
    <row r="148" spans="1:3" ht="12.75">
      <c r="A148" s="142">
        <v>43194</v>
      </c>
      <c r="B148" s="139">
        <v>9.68</v>
      </c>
      <c r="C148" s="139">
        <v>10.575</v>
      </c>
    </row>
    <row r="149" spans="1:3" ht="12.75">
      <c r="A149" s="142">
        <v>43195</v>
      </c>
      <c r="B149" s="139">
        <v>9.86</v>
      </c>
      <c r="C149" s="139">
        <v>10.75</v>
      </c>
    </row>
    <row r="150" spans="1:3" ht="12.75">
      <c r="A150" s="142">
        <v>43196</v>
      </c>
      <c r="B150" s="139">
        <v>9.92</v>
      </c>
      <c r="C150" s="139">
        <v>10.965</v>
      </c>
    </row>
    <row r="151" spans="1:3" ht="12.75">
      <c r="A151" s="142">
        <v>43199</v>
      </c>
      <c r="B151" s="139">
        <v>10.06</v>
      </c>
      <c r="C151" s="139">
        <v>11.120000000000001</v>
      </c>
    </row>
    <row r="152" spans="1:3" ht="12.75">
      <c r="A152" s="142">
        <v>43200</v>
      </c>
      <c r="B152" s="139">
        <v>10.12</v>
      </c>
      <c r="C152" s="139">
        <v>11.155000000000001</v>
      </c>
    </row>
    <row r="153" spans="1:3" ht="12.75">
      <c r="A153" s="142">
        <v>43201</v>
      </c>
      <c r="B153" s="139">
        <v>10.1</v>
      </c>
      <c r="C153" s="139">
        <v>11.125</v>
      </c>
    </row>
    <row r="154" spans="1:3" ht="12.75">
      <c r="A154" s="142">
        <v>43202</v>
      </c>
      <c r="B154" s="139">
        <v>10.21</v>
      </c>
      <c r="C154" s="139">
        <v>11.245000000000001</v>
      </c>
    </row>
    <row r="155" spans="1:3" ht="12.75">
      <c r="A155" s="142">
        <v>43203</v>
      </c>
      <c r="B155" s="139">
        <v>10.11</v>
      </c>
      <c r="C155" s="139">
        <v>11.195</v>
      </c>
    </row>
    <row r="156" spans="1:3" ht="12.75">
      <c r="A156" s="142">
        <v>43206</v>
      </c>
      <c r="B156" s="139">
        <v>10.06</v>
      </c>
      <c r="C156" s="139">
        <v>11.094999999999999</v>
      </c>
    </row>
    <row r="157" spans="1:3" ht="12.75">
      <c r="A157" s="142">
        <v>43207</v>
      </c>
      <c r="B157" s="139">
        <v>10.09</v>
      </c>
      <c r="C157" s="139">
        <v>11.135</v>
      </c>
    </row>
    <row r="158" spans="1:3" ht="12.75">
      <c r="A158" s="142">
        <v>43208</v>
      </c>
      <c r="B158" s="139">
        <v>10.04</v>
      </c>
      <c r="C158" s="16">
        <f>C157+B158-B157</f>
        <v>11.084999999999997</v>
      </c>
    </row>
    <row r="159" spans="1:3" ht="12.75">
      <c r="A159" s="142">
        <v>43209</v>
      </c>
      <c r="B159" s="139">
        <v>10</v>
      </c>
      <c r="C159" s="139">
        <v>10.995000000000001</v>
      </c>
    </row>
    <row r="160" spans="1:3" ht="12.75">
      <c r="A160" s="142">
        <v>43210</v>
      </c>
      <c r="B160" s="139">
        <v>9.94</v>
      </c>
      <c r="C160" s="139">
        <v>10.905000000000001</v>
      </c>
    </row>
    <row r="161" spans="1:3" ht="12.75">
      <c r="A161" s="142">
        <v>43213</v>
      </c>
      <c r="B161" s="139">
        <v>9.84</v>
      </c>
      <c r="C161" s="139">
        <v>10.81</v>
      </c>
    </row>
    <row r="162" spans="1:3" ht="12.75">
      <c r="A162" s="142">
        <v>43214</v>
      </c>
      <c r="B162" s="139">
        <v>9.86</v>
      </c>
      <c r="C162" s="139">
        <v>10.82</v>
      </c>
    </row>
    <row r="163" spans="1:3" ht="12.75">
      <c r="A163" s="142">
        <v>43215</v>
      </c>
      <c r="B163" s="139">
        <v>9.9</v>
      </c>
      <c r="C163" s="139">
        <v>10.91</v>
      </c>
    </row>
    <row r="164" spans="1:3" ht="12.75">
      <c r="A164" s="142">
        <v>43216</v>
      </c>
      <c r="B164" s="139">
        <v>9.92</v>
      </c>
      <c r="C164" s="139">
        <v>10.895</v>
      </c>
    </row>
    <row r="165" spans="1:3" ht="12.75">
      <c r="A165" s="142">
        <v>43217</v>
      </c>
      <c r="B165" s="139">
        <v>10.09</v>
      </c>
      <c r="C165" s="139">
        <v>11.065000000000001</v>
      </c>
    </row>
    <row r="166" spans="1:3" ht="12.75">
      <c r="A166" s="142">
        <v>43220</v>
      </c>
      <c r="B166" s="139">
        <v>10.01</v>
      </c>
      <c r="C166" s="139">
        <v>10.955</v>
      </c>
    </row>
    <row r="167" spans="1:3" ht="12.75">
      <c r="A167" s="142">
        <v>43221</v>
      </c>
      <c r="B167" s="139">
        <v>10.09</v>
      </c>
      <c r="C167" s="139">
        <v>11.02</v>
      </c>
    </row>
    <row r="168" spans="1:3" ht="12.75">
      <c r="A168" s="142">
        <v>43222</v>
      </c>
      <c r="B168" s="139">
        <v>10</v>
      </c>
      <c r="C168" s="16">
        <f>C167+B168-B167</f>
        <v>10.93</v>
      </c>
    </row>
    <row r="169" spans="1:3" ht="12.75">
      <c r="A169" s="142">
        <v>43223</v>
      </c>
      <c r="B169" s="139">
        <v>10.12</v>
      </c>
      <c r="C169" s="139">
        <v>11.004999999999999</v>
      </c>
    </row>
    <row r="170" spans="1:3" ht="12.75">
      <c r="A170" s="142">
        <v>43224</v>
      </c>
      <c r="B170" s="139">
        <v>9.96</v>
      </c>
      <c r="C170" s="139">
        <v>10.844999999999999</v>
      </c>
    </row>
    <row r="171" spans="1:3" ht="12.75">
      <c r="A171" s="142">
        <v>43227</v>
      </c>
      <c r="B171" s="139">
        <v>9.71</v>
      </c>
      <c r="C171" s="139">
        <v>10.59</v>
      </c>
    </row>
    <row r="172" spans="1:3" ht="12.75">
      <c r="A172" s="142">
        <v>43228</v>
      </c>
      <c r="B172" s="139">
        <v>9.82</v>
      </c>
      <c r="C172" s="139">
        <v>10.685</v>
      </c>
    </row>
    <row r="173" spans="1:3" ht="12.75">
      <c r="A173" s="142">
        <v>43229</v>
      </c>
      <c r="B173" s="139">
        <v>9.78</v>
      </c>
      <c r="C173" s="139">
        <v>10.665</v>
      </c>
    </row>
    <row r="174" spans="1:3" ht="12.75">
      <c r="A174" s="142">
        <v>43230</v>
      </c>
      <c r="B174" s="139">
        <v>9.85</v>
      </c>
      <c r="C174" s="139">
        <v>10.715</v>
      </c>
    </row>
    <row r="175" spans="1:3" ht="12.75">
      <c r="A175" s="142">
        <v>43231</v>
      </c>
      <c r="B175" s="139">
        <v>9.67</v>
      </c>
      <c r="C175" s="139">
        <v>10.54</v>
      </c>
    </row>
    <row r="176" spans="1:3" ht="12.75">
      <c r="A176" s="142">
        <v>43234</v>
      </c>
      <c r="B176" s="139">
        <v>9.82</v>
      </c>
      <c r="C176" s="139">
        <v>10.69</v>
      </c>
    </row>
    <row r="177" spans="1:3" ht="12.75">
      <c r="A177" s="142">
        <v>43235</v>
      </c>
      <c r="B177" s="139">
        <v>9.82</v>
      </c>
      <c r="C177" s="139">
        <v>10.7</v>
      </c>
    </row>
    <row r="178" spans="1:3" ht="12.75">
      <c r="A178" s="142">
        <v>43236</v>
      </c>
      <c r="B178" s="139">
        <v>9.64</v>
      </c>
      <c r="C178" s="139">
        <v>10.525</v>
      </c>
    </row>
    <row r="179" spans="1:3" ht="12.75">
      <c r="A179" s="142">
        <v>43237</v>
      </c>
      <c r="B179" s="139">
        <v>9.59</v>
      </c>
      <c r="C179" s="139">
        <v>10.46</v>
      </c>
    </row>
    <row r="180" spans="1:3" ht="12.75">
      <c r="A180" s="142">
        <v>43238</v>
      </c>
      <c r="B180" s="139">
        <v>9.62</v>
      </c>
      <c r="C180" s="139">
        <v>10.49</v>
      </c>
    </row>
    <row r="181" spans="1:3" ht="12.75">
      <c r="A181" s="142">
        <v>43241</v>
      </c>
      <c r="B181" s="139">
        <v>9.88</v>
      </c>
      <c r="C181" s="139">
        <v>10.754999999999999</v>
      </c>
    </row>
    <row r="182" spans="1:3" ht="12.75">
      <c r="A182" s="142">
        <v>43242</v>
      </c>
      <c r="B182" s="139">
        <v>9.93</v>
      </c>
      <c r="C182" s="139">
        <v>10.82</v>
      </c>
    </row>
    <row r="183" spans="1:3" ht="12.75">
      <c r="A183" s="142">
        <v>43243</v>
      </c>
      <c r="B183" s="139">
        <v>10.03</v>
      </c>
      <c r="C183" s="139">
        <v>10.94</v>
      </c>
    </row>
    <row r="184" spans="1:3" ht="12.75">
      <c r="A184" s="142">
        <v>43244</v>
      </c>
      <c r="B184" s="139">
        <v>10</v>
      </c>
      <c r="C184" s="139">
        <v>10.934999999999999</v>
      </c>
    </row>
    <row r="185" spans="1:3" ht="12.75">
      <c r="A185" s="142">
        <v>43245</v>
      </c>
      <c r="B185" s="139">
        <v>10.05</v>
      </c>
      <c r="C185" s="139">
        <v>10.99</v>
      </c>
    </row>
    <row r="186" spans="1:3" ht="12.75">
      <c r="A186" s="142">
        <v>43249</v>
      </c>
      <c r="B186" s="139">
        <v>9.94</v>
      </c>
      <c r="C186" s="139">
        <v>10.89</v>
      </c>
    </row>
    <row r="187" spans="1:3" ht="12.75">
      <c r="A187" s="142">
        <v>43250</v>
      </c>
      <c r="B187" s="139">
        <v>9.87</v>
      </c>
      <c r="C187" s="139">
        <v>10.815000000000001</v>
      </c>
    </row>
    <row r="188" spans="1:3" ht="12.75">
      <c r="A188" s="142">
        <v>43251</v>
      </c>
      <c r="B188" s="139">
        <v>9.82</v>
      </c>
      <c r="C188" s="139">
        <v>10.77</v>
      </c>
    </row>
    <row r="189" spans="1:3" ht="12.75">
      <c r="A189" s="142">
        <v>43252</v>
      </c>
      <c r="B189" s="139">
        <v>9.86</v>
      </c>
      <c r="C189" s="139">
        <v>10.765</v>
      </c>
    </row>
    <row r="190" spans="1:3" ht="12.75">
      <c r="A190" s="142">
        <v>43255</v>
      </c>
      <c r="B190" s="139">
        <v>9.67</v>
      </c>
      <c r="C190" s="139">
        <v>10.57</v>
      </c>
    </row>
    <row r="191" spans="1:3" ht="12.75">
      <c r="A191" s="142">
        <v>43256</v>
      </c>
      <c r="B191" s="139">
        <v>9.66</v>
      </c>
      <c r="C191" s="139">
        <v>10.56</v>
      </c>
    </row>
    <row r="192" spans="1:3" ht="12.75">
      <c r="A192" s="142">
        <v>43257</v>
      </c>
      <c r="B192" s="139">
        <v>9.59</v>
      </c>
      <c r="C192" s="139">
        <v>10.495000000000001</v>
      </c>
    </row>
    <row r="193" spans="1:3" ht="12.75">
      <c r="A193" s="142">
        <v>43258</v>
      </c>
      <c r="B193" s="139">
        <v>9.39</v>
      </c>
      <c r="C193" s="139">
        <v>10.285</v>
      </c>
    </row>
    <row r="194" spans="1:3" ht="12.75">
      <c r="A194" s="142">
        <v>43259</v>
      </c>
      <c r="B194" s="139">
        <v>9.33</v>
      </c>
      <c r="C194" s="139">
        <v>10.23</v>
      </c>
    </row>
    <row r="195" spans="1:3" ht="12.75">
      <c r="A195" s="142">
        <v>43262</v>
      </c>
      <c r="B195" s="139">
        <v>9.18</v>
      </c>
      <c r="C195" s="139">
        <v>10.08</v>
      </c>
    </row>
    <row r="196" spans="1:3" ht="12.75">
      <c r="A196" s="142">
        <v>43263</v>
      </c>
      <c r="B196" s="139">
        <v>9.19</v>
      </c>
      <c r="C196" s="139">
        <v>10.08</v>
      </c>
    </row>
    <row r="197" spans="1:3" ht="12.75">
      <c r="A197" s="142">
        <v>43264</v>
      </c>
      <c r="B197" s="139">
        <v>9.01</v>
      </c>
      <c r="C197" s="139">
        <v>9.905000000000001</v>
      </c>
    </row>
    <row r="198" spans="1:3" ht="12.75">
      <c r="A198" s="142">
        <v>43265</v>
      </c>
      <c r="B198" s="139">
        <v>8.92</v>
      </c>
      <c r="C198" s="139">
        <v>9.8</v>
      </c>
    </row>
    <row r="199" spans="1:3" ht="12.75">
      <c r="A199" s="142">
        <v>43266</v>
      </c>
      <c r="B199" s="139">
        <v>8.7</v>
      </c>
      <c r="C199" s="139">
        <v>9.59</v>
      </c>
    </row>
    <row r="200" spans="1:3" ht="12.75">
      <c r="A200" s="142">
        <v>43269</v>
      </c>
      <c r="B200" s="139">
        <v>8.78</v>
      </c>
      <c r="C200" s="139">
        <v>9.59</v>
      </c>
    </row>
    <row r="201" spans="1:3" ht="12.75">
      <c r="A201" s="142">
        <v>43270</v>
      </c>
      <c r="B201" s="139">
        <v>8.56</v>
      </c>
      <c r="C201" s="139">
        <v>9.405000000000001</v>
      </c>
    </row>
    <row r="202" spans="1:3" ht="12.75">
      <c r="A202" s="142">
        <v>43271</v>
      </c>
      <c r="B202" s="139">
        <v>8.59</v>
      </c>
      <c r="C202" s="139">
        <v>9.42</v>
      </c>
    </row>
    <row r="203" spans="1:3" ht="12.75">
      <c r="A203" s="142">
        <v>43272</v>
      </c>
      <c r="B203" s="139">
        <v>8.5</v>
      </c>
      <c r="C203" s="139">
        <v>9.33</v>
      </c>
    </row>
    <row r="204" spans="1:3" ht="12.75">
      <c r="A204" s="142">
        <v>43273</v>
      </c>
      <c r="B204" s="139">
        <v>8.64</v>
      </c>
      <c r="C204" s="139">
        <v>9.49</v>
      </c>
    </row>
    <row r="205" spans="1:3" ht="12.75">
      <c r="A205" s="142">
        <v>43276</v>
      </c>
      <c r="B205" s="139">
        <v>8.44</v>
      </c>
      <c r="C205" s="139">
        <v>9.29</v>
      </c>
    </row>
    <row r="206" spans="1:3" ht="12.75">
      <c r="A206" s="142">
        <v>43277</v>
      </c>
      <c r="B206" s="139">
        <v>8.36</v>
      </c>
      <c r="C206" s="139">
        <v>9.2</v>
      </c>
    </row>
    <row r="207" spans="1:3" ht="12.75">
      <c r="A207" s="142">
        <v>43278</v>
      </c>
      <c r="B207" s="139">
        <v>8.37</v>
      </c>
      <c r="C207" s="139">
        <v>9.21</v>
      </c>
    </row>
    <row r="208" spans="1:3" ht="12.75">
      <c r="A208" s="142">
        <v>43279</v>
      </c>
      <c r="B208" s="139">
        <v>8.31</v>
      </c>
      <c r="C208" s="139">
        <v>9.145</v>
      </c>
    </row>
    <row r="209" spans="1:3" ht="12.75">
      <c r="A209" s="142">
        <v>43280</v>
      </c>
      <c r="B209" s="139">
        <v>8.28</v>
      </c>
      <c r="C209" s="139">
        <v>9.11</v>
      </c>
    </row>
    <row r="210" spans="1:3" ht="12.75">
      <c r="A210" s="142">
        <v>43283</v>
      </c>
      <c r="B210" s="139">
        <v>8.19</v>
      </c>
      <c r="C210" s="139">
        <v>9.02</v>
      </c>
    </row>
    <row r="211" spans="1:3" ht="12.75">
      <c r="A211" s="142">
        <v>43284</v>
      </c>
      <c r="B211" s="139">
        <v>8.14</v>
      </c>
      <c r="C211" s="139">
        <v>8.995</v>
      </c>
    </row>
    <row r="212" spans="1:3" ht="12.75">
      <c r="A212" s="142">
        <v>43286</v>
      </c>
      <c r="B212" s="139">
        <v>8.04</v>
      </c>
      <c r="C212" s="139">
        <v>8.89</v>
      </c>
    </row>
    <row r="213" spans="1:3" ht="12.75">
      <c r="A213" s="147">
        <v>43287</v>
      </c>
      <c r="B213" s="16">
        <v>8.43</v>
      </c>
      <c r="C213" s="139">
        <v>9.32</v>
      </c>
    </row>
    <row r="214" spans="1:3" ht="12.75">
      <c r="A214" s="147">
        <v>43290</v>
      </c>
      <c r="B214" s="16">
        <v>8.22</v>
      </c>
      <c r="C214" s="139">
        <v>9.105</v>
      </c>
    </row>
    <row r="215" spans="1:3" ht="12.75">
      <c r="A215" s="147">
        <v>43291</v>
      </c>
      <c r="B215" s="16">
        <v>8.22</v>
      </c>
      <c r="C215" s="16">
        <v>9.11</v>
      </c>
    </row>
    <row r="216" spans="1:3" ht="12.75">
      <c r="A216" s="147">
        <v>43292</v>
      </c>
      <c r="B216" s="16">
        <v>8.03</v>
      </c>
      <c r="C216" s="16">
        <v>8.88</v>
      </c>
    </row>
    <row r="217" spans="1:3" ht="12.75">
      <c r="A217" s="147">
        <v>43293</v>
      </c>
      <c r="B217" s="16">
        <v>8</v>
      </c>
      <c r="C217" s="16">
        <v>8.87</v>
      </c>
    </row>
    <row r="218" spans="1:3" ht="12.75">
      <c r="A218" s="147">
        <v>43294</v>
      </c>
      <c r="B218" s="16">
        <v>7.84</v>
      </c>
      <c r="C218" s="16">
        <v>8.7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OCS-18g, July 2018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2018-07-16T12:51:47Z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