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1" sheetId="2" r:id="rId2"/>
    <sheet name="Table 2" sheetId="3" r:id="rId3"/>
    <sheet name="Table 3" sheetId="4" r:id="rId4"/>
    <sheet name="Table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7">'Table 10'!$A$1:$G$48</definedName>
    <definedName name="_xlnm.Print_Area" localSheetId="2">'Table 2'!$A$1:$J$40</definedName>
    <definedName name="_xlnm.Print_Area" localSheetId="3">'Table 3'!$A$1:$M$42</definedName>
    <definedName name="_xlnm.Print_Area" localSheetId="5">'Table 8'!$A$1:$G$46</definedName>
    <definedName name="_xlnm.Print_Area" localSheetId="6">'Table 9'!$A$1:$I$48</definedName>
    <definedName name="_xlnm.Print_Area" localSheetId="1">'Table1'!$A$1:$N$56</definedName>
    <definedName name="_xlnm.Print_Area" localSheetId="4">'Table4-7'!$A$1:$O$52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<sst xmlns="http://schemas.openxmlformats.org/spreadsheetml/2006/main" count="574" uniqueCount="205">
  <si>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</si>
  <si>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</si>
  <si>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</si>
  <si>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</si>
  <si>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</si>
  <si>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</si>
  <si>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</si>
  <si>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</si>
  <si>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</si>
  <si>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</si>
  <si>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</si>
  <si>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</si>
  <si>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</si>
  <si>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</si>
  <si>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</si>
  <si>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</si>
  <si>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</si>
  <si>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</si>
  <si>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</si>
  <si>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</si>
  <si>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</si>
  <si>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</si>
  <si>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</si>
  <si>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</si>
  <si>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</si>
  <si>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</si>
  <si>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</si>
  <si>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</si>
  <si>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</si>
  <si>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</si>
  <si>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</si>
  <si>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</si>
  <si>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</si>
  <si>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</si>
  <si>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</si>
  <si>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</si>
  <si>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</si>
  <si>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</si>
  <si>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</si>
  <si>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</si>
  <si>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</si>
  <si>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</si>
  <si>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</si>
  <si>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</si>
  <si>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</si>
  <si>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</si>
  <si>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</si>
  <si>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</si>
  <si>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</si>
  <si>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</si>
  <si>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</si>
  <si>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</si>
  <si>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</si>
  <si>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</si>
  <si>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</si>
  <si>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</si>
  <si>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</si>
  <si>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</si>
  <si>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</si>
  <si>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</si>
  <si>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</si>
  <si>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</si>
  <si>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</si>
  <si>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</si>
  <si>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</si>
  <si>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</si>
  <si>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</si>
  <si>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</si>
  <si>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</si>
  <si>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</si>
  <si>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</si>
  <si>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</si>
  <si>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</si>
  <si>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</si>
  <si>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</si>
  <si>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</si>
  <si>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</si>
  <si>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</si>
  <si>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</si>
  <si>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</si>
  <si>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</si>
  <si>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</si>
  <si>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</si>
  <si>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</si>
  <si>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</si>
  <si>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</si>
  <si>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</si>
  <si>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</si>
  <si>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</si>
  <si>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</si>
  <si>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</si>
  <si>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</si>
  <si>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</si>
  <si>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</si>
  <si>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</si>
  <si>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</si>
  <si>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</si>
  <si>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</si>
  <si>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</si>
  <si>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</si>
  <si>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</si>
  <si>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</si>
  <si>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</si>
  <si>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</si>
  <si>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</si>
  <si>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</si>
  <si>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</si>
  <si>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</si>
  <si>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</si>
  <si>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</si>
  <si>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</si>
  <si>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</si>
  <si>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</si>
  <si>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</si>
  <si>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</si>
  <si>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</si>
  <si>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</si>
  <si>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</si>
  <si>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</si>
  <si>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</si>
  <si>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</si>
  <si>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</si>
  <si>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</si>
  <si>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</si>
  <si>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</si>
  <si>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</si>
  <si>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</si>
  <si>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</si>
  <si>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</si>
  <si>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</si>
  <si>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</si>
  <si>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</si>
  <si>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</si>
  <si>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</si>
  <si>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</si>
  <si>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</si>
  <si>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</si>
  <si>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</si>
  <si>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</si>
  <si>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</si>
  <si>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</si>
  <si>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</si>
  <si>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</si>
  <si>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</si>
  <si>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</si>
  <si>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</si>
  <si>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</si>
  <si>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</si>
  <si>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</si>
  <si>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</si>
  <si>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</si>
  <si>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</si>
  <si>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</si>
  <si>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</si>
  <si>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</si>
  <si>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</si>
  <si>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</si>
  <si>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</si>
  <si>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</si>
  <si>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</si>
  <si>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</si>
  <si>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</si>
  <si>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</si>
  <si>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</si>
  <si>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</si>
  <si>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</si>
  <si>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</si>
  <si>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</si>
  <si>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</si>
  <si>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</si>
  <si>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</si>
  <si>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</si>
  <si>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</si>
  <si>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</si>
  <si>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290-330</t>
  </si>
  <si>
    <t>210-250</t>
  </si>
  <si>
    <t>130-170</t>
  </si>
  <si>
    <t>195-235</t>
  </si>
  <si>
    <t>235-275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</si>
  <si>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</si>
  <si>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</si>
  <si>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</si>
  <si>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</si>
  <si>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</si>
  <si>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</si>
  <si>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</si>
  <si>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165-205</t>
  </si>
  <si>
    <t>15.60-18.40</t>
  </si>
  <si>
    <t>8.35-10.05</t>
  </si>
  <si>
    <t>Soybean oil</t>
  </si>
  <si>
    <t>Oil Crops Outlook Tables</t>
  </si>
  <si>
    <t>Last update</t>
  </si>
  <si>
    <t>7.80-9.50</t>
  </si>
  <si>
    <t>15.95-18.75</t>
  </si>
  <si>
    <t>Ukraine</t>
  </si>
  <si>
    <t>Russia</t>
  </si>
  <si>
    <t>production</t>
  </si>
  <si>
    <t>Peanut oil</t>
  </si>
  <si>
    <t>Sunflowerseed oil</t>
  </si>
  <si>
    <t xml:space="preserve">Cottonseed oil </t>
  </si>
  <si>
    <t>Canola oil</t>
  </si>
  <si>
    <t xml:space="preserve">Contacts: Mark Ash at mash@ers.usda.gov   </t>
  </si>
  <si>
    <t xml:space="preserve">and Mariana Matias at mariana.matias@ers.usda.gov </t>
  </si>
  <si>
    <t>Oil Crops Chart Gallery Fig 1</t>
  </si>
  <si>
    <t>Oil Crops Chart Gallery Fig 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</si>
</sst>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74" fontId="4" fillId="0" borderId="10" xfId="42" applyNumberFormat="1" applyFont="1" applyBorder="1" applyAlignment="1">
      <alignment horizontal="left"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53" applyBorder="1" applyAlignment="1" applyProtection="1">
      <alignment wrapText="1"/>
      <protection/>
    </xf>
    <xf numFmtId="0" fontId="2" fillId="0" borderId="0" xfId="53" applyBorder="1" applyAlignment="1" applyProtection="1" quotePrefix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vegetable oils to add minimally to tightening U.S. supply of soybean oil        </a:t>
            </a:r>
          </a:p>
        </c:rich>
      </c:tx>
      <c:layout>
        <c:manualLayout>
          <c:xMode val="factor"/>
          <c:yMode val="factor"/>
          <c:x val="-0.09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25"/>
          <c:h val="0.75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1'!$B$3:$B$5</c:f>
              <c:numCache/>
            </c:numRef>
          </c:val>
        </c:ser>
        <c:ser>
          <c:idx val="4"/>
          <c:order val="1"/>
          <c:tx>
            <c:strRef>
              <c:f>'Oil Crops Chart Gallery Fig 1'!$F$1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1'!$F$3:$F$5</c:f>
              <c:numCache/>
            </c:numRef>
          </c:val>
        </c:ser>
        <c:ser>
          <c:idx val="0"/>
          <c:order val="2"/>
          <c:tx>
            <c:strRef>
              <c:f>'Oil Crops Chart Gallery Fig 1'!$C$1</c:f>
              <c:strCache>
                <c:ptCount val="1"/>
                <c:pt idx="0">
                  <c:v>Peanut oil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1'!$C$3:$C$5</c:f>
              <c:numCache/>
            </c:numRef>
          </c:val>
        </c:ser>
        <c:ser>
          <c:idx val="2"/>
          <c:order val="3"/>
          <c:tx>
            <c:strRef>
              <c:f>'Oil Crops Chart Gallery Fig 1'!$D$1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1'!$D$3:$D$5</c:f>
              <c:numCache/>
            </c:numRef>
          </c:val>
        </c:ser>
        <c:ser>
          <c:idx val="3"/>
          <c:order val="4"/>
          <c:tx>
            <c:strRef>
              <c:f>'Oil Crops Chart Gallery Fig 1'!$E$1</c:f>
              <c:strCache>
                <c:ptCount val="1"/>
                <c:pt idx="0">
                  <c:v>Cottonseed oil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1'!$E$3:$E$5</c:f>
              <c:numCache/>
            </c:numRef>
          </c:val>
        </c:ser>
        <c:overlap val="100"/>
        <c:axId val="48948894"/>
        <c:axId val="37886863"/>
      </c:bar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8948894"/>
        <c:crossesAt val="1"/>
        <c:crossBetween val="between"/>
        <c:dispUnits/>
        <c:majorUnit val="10000"/>
        <c:min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18"/>
          <c:w val="0.11625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Growing season dryness curtails sunflowerseed production by Ukraine and Russia  </a:t>
            </a:r>
          </a:p>
        </c:rich>
      </c:tx>
      <c:layout>
        <c:manualLayout>
          <c:xMode val="factor"/>
          <c:yMode val="factor"/>
          <c:x val="-0.07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5437448"/>
        <c:axId val="48937033"/>
      </c:barChart>
      <c:cat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7033"/>
        <c:crosses val="autoZero"/>
        <c:auto val="1"/>
        <c:lblOffset val="100"/>
        <c:tickLblSkip val="1"/>
        <c:noMultiLvlLbl val="0"/>
      </c:catAx>
      <c:valAx>
        <c:axId val="4893703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43744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05"/>
          <c:y val="0.21275"/>
          <c:w val="0.223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10</xdr:col>
      <xdr:colOff>428625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38100" y="1085850"/>
        <a:ext cx="6962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20"/>
  <sheetViews>
    <sheetView tabSelected="1" zoomScalePageLayoutView="0" workbookViewId="0" topLeftCell="A1">
      <selection activeCell="C23" sqref="C23"/>
    </sheetView>
  </sheetViews>
  <sheetFormatPr defaultColWidth="9.7109375" defaultRowHeight="12.75"/>
  <cols>
    <col min="1" max="1" width="64.7109375" style="143" customWidth="1"/>
    <col min="2" max="16384" width="9.7109375" style="135" customWidth="1"/>
  </cols>
  <sheetData>
    <row r="1" ht="44.25" customHeight="1">
      <c r="A1" s="134"/>
    </row>
    <row r="2" ht="18">
      <c r="A2" s="136" t="s">
        <v>190</v>
      </c>
    </row>
    <row r="3" s="138" customFormat="1" ht="11.25">
      <c r="A3" s="137"/>
    </row>
    <row r="4" ht="12.75">
      <c r="A4" s="139" t="s">
        <v>191</v>
      </c>
    </row>
    <row r="5" spans="1:2" ht="12.75">
      <c r="A5" s="147">
        <f ca="1">TODAY()</f>
        <v>43024</v>
      </c>
      <c r="B5" s="140"/>
    </row>
    <row r="6" spans="1:3" s="138" customFormat="1" ht="12.75">
      <c r="A6" s="137"/>
      <c r="B6" s="140"/>
      <c r="C6" s="141"/>
    </row>
    <row r="7" spans="1:3" ht="12.75">
      <c r="A7" s="146" t="s">
        <v>89</v>
      </c>
      <c r="B7" s="142"/>
      <c r="C7" s="138"/>
    </row>
    <row r="8" spans="1:2" ht="12.75">
      <c r="A8" s="146" t="s">
        <v>23</v>
      </c>
      <c r="B8" s="144"/>
    </row>
    <row r="9" spans="1:2" ht="12.75">
      <c r="A9" s="146" t="s">
        <v>25</v>
      </c>
      <c r="B9" s="144"/>
    </row>
    <row r="10" spans="1:2" ht="12.75">
      <c r="A10" s="146" t="s">
        <v>11</v>
      </c>
      <c r="B10" s="144"/>
    </row>
    <row r="11" spans="1:2" ht="12.75">
      <c r="A11" s="146" t="s">
        <v>12</v>
      </c>
      <c r="B11" s="144"/>
    </row>
    <row r="12" spans="1:2" ht="12.75">
      <c r="A12" s="146" t="s">
        <v>13</v>
      </c>
      <c r="B12" s="144"/>
    </row>
    <row r="13" spans="1:2" ht="12.75">
      <c r="A13" s="146" t="s">
        <v>14</v>
      </c>
      <c r="B13" s="144"/>
    </row>
    <row r="14" spans="1:2" ht="12.75">
      <c r="A14" s="146" t="s">
        <v>65</v>
      </c>
      <c r="B14" s="144"/>
    </row>
    <row r="15" spans="1:2" ht="12.75">
      <c r="A15" s="146" t="s">
        <v>22</v>
      </c>
      <c r="B15" s="144"/>
    </row>
    <row r="16" spans="1:2" ht="12.75">
      <c r="A16" s="146" t="s">
        <v>44</v>
      </c>
      <c r="B16" s="144"/>
    </row>
    <row r="17" ht="12.75">
      <c r="A17" s="153" t="s">
        <v>203</v>
      </c>
    </row>
    <row r="18" ht="12.75">
      <c r="A18" s="152" t="s">
        <v>204</v>
      </c>
    </row>
    <row r="19" spans="1:2" ht="12.75">
      <c r="A19" s="145" t="s">
        <v>201</v>
      </c>
      <c r="B19" s="144"/>
    </row>
    <row r="20" ht="12.75">
      <c r="A20" s="145" t="s">
        <v>202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  <hyperlink ref="A17" location="'Oil Crops Chart Gallery Fig 1'!A1" display="'Oil Crops Chart Gallery Fig 1'!A1"/>
    <hyperlink ref="A18" location="'Oil Crops Chart Gallery Fig 2'!A1" display="Oil Crops Chart Gallery Fig 2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114</v>
      </c>
      <c r="B1" s="101" t="s">
        <v>194</v>
      </c>
      <c r="C1" s="101" t="s">
        <v>195</v>
      </c>
      <c r="E1" s="10"/>
      <c r="F1" s="101"/>
    </row>
    <row r="2" spans="1:2" ht="12.75">
      <c r="A2" s="101"/>
      <c r="B2" s="10" t="s">
        <v>196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9.8</v>
      </c>
      <c r="C4" s="133">
        <v>9.062</v>
      </c>
      <c r="D4" s="115"/>
      <c r="E4" s="115"/>
      <c r="F4" s="115"/>
    </row>
    <row r="5" spans="1:6" ht="15.75">
      <c r="A5" s="15" t="s">
        <v>118</v>
      </c>
      <c r="B5" s="13">
        <v>9</v>
      </c>
      <c r="C5" s="133">
        <v>7.495</v>
      </c>
      <c r="D5" s="115"/>
      <c r="E5" s="115"/>
      <c r="F5" s="115"/>
    </row>
    <row r="6" spans="1:6" ht="15.75">
      <c r="A6" s="15" t="s">
        <v>126</v>
      </c>
      <c r="B6" s="13">
        <v>11.6</v>
      </c>
      <c r="C6" s="133">
        <v>9.842</v>
      </c>
      <c r="D6" s="115"/>
      <c r="E6" s="115"/>
      <c r="F6" s="115"/>
    </row>
    <row r="7" spans="1:6" ht="15.75">
      <c r="A7" s="15" t="s">
        <v>129</v>
      </c>
      <c r="B7" s="13">
        <v>10.2</v>
      </c>
      <c r="C7" s="133">
        <v>8.374</v>
      </c>
      <c r="D7" s="115"/>
      <c r="E7" s="102"/>
      <c r="F7" s="115"/>
    </row>
    <row r="8" spans="1:6" ht="15.75">
      <c r="A8" s="15" t="s">
        <v>140</v>
      </c>
      <c r="B8" s="13">
        <v>11.9</v>
      </c>
      <c r="C8" s="133">
        <v>9.173</v>
      </c>
      <c r="D8" s="115"/>
      <c r="E8" s="102"/>
      <c r="F8" s="115"/>
    </row>
    <row r="9" spans="1:6" ht="15.75">
      <c r="A9" s="15" t="s">
        <v>164</v>
      </c>
      <c r="B9" s="13">
        <v>15.2</v>
      </c>
      <c r="C9" s="133">
        <v>10.858</v>
      </c>
      <c r="D9" s="115"/>
      <c r="E9" s="102"/>
      <c r="F9" s="115"/>
    </row>
    <row r="10" spans="1:6" ht="15.75">
      <c r="A10" s="15" t="s">
        <v>171</v>
      </c>
      <c r="B10" s="13">
        <v>13.5</v>
      </c>
      <c r="C10" s="133">
        <v>11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1" t="s">
        <v>27</v>
      </c>
      <c r="C2" s="151"/>
      <c r="D2" s="16" t="s">
        <v>30</v>
      </c>
      <c r="E2" s="151" t="s">
        <v>119</v>
      </c>
      <c r="F2" s="151"/>
      <c r="G2" s="151"/>
      <c r="H2" s="151"/>
      <c r="I2" s="17"/>
      <c r="J2" s="151" t="s">
        <v>86</v>
      </c>
      <c r="K2" s="151"/>
      <c r="L2" s="151"/>
      <c r="M2" s="151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9" t="s">
        <v>120</v>
      </c>
      <c r="C5" s="150"/>
      <c r="D5" s="66" t="s">
        <v>91</v>
      </c>
      <c r="E5" s="149" t="s">
        <v>122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8.75">
      <c r="A6" s="15" t="s">
        <v>169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f>F19</f>
        <v>3926.339</v>
      </c>
      <c r="G6" s="94">
        <f>G32</f>
        <v>23.5406396308524</v>
      </c>
      <c r="H6" s="94">
        <f>SUM(E6:G6)</f>
        <v>4140.489639630852</v>
      </c>
      <c r="I6" s="21"/>
      <c r="J6" s="67">
        <f>J32</f>
        <v>1886.2368000000001</v>
      </c>
      <c r="K6" s="67">
        <f>M6-J6-L6</f>
        <v>115.2675503874541</v>
      </c>
      <c r="L6" s="94">
        <f>L32</f>
        <v>1942.2562892433982</v>
      </c>
      <c r="M6" s="94">
        <f>+H6-N6</f>
        <v>3943.7606396308524</v>
      </c>
      <c r="N6" s="94">
        <f>N31</f>
        <v>196.729</v>
      </c>
    </row>
    <row r="7" spans="1:14" ht="18.75">
      <c r="A7" s="15" t="s">
        <v>160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F38</f>
        <v>4296.086</v>
      </c>
      <c r="G7" s="94">
        <f>G51</f>
        <v>22.241776548522303</v>
      </c>
      <c r="H7" s="94">
        <f>SUM(E7:G7)</f>
        <v>4515.056776548523</v>
      </c>
      <c r="J7" s="67">
        <f>J51</f>
        <v>1898.9575333333332</v>
      </c>
      <c r="K7" s="67">
        <f>M7-J7-L7</f>
        <v>141.11770147792322</v>
      </c>
      <c r="L7" s="94">
        <f>L51</f>
        <v>2173.652541737267</v>
      </c>
      <c r="M7" s="94">
        <f>+H7-N7</f>
        <v>4213.727776548523</v>
      </c>
      <c r="N7" s="94">
        <f>N50</f>
        <v>301.329</v>
      </c>
    </row>
    <row r="8" spans="1:14" ht="18.75">
      <c r="A8" s="15" t="s">
        <v>168</v>
      </c>
      <c r="B8" s="77">
        <v>90.207</v>
      </c>
      <c r="C8" s="77">
        <v>89.471</v>
      </c>
      <c r="D8" s="77">
        <f>+F8/C8</f>
        <v>49.52019089984464</v>
      </c>
      <c r="E8" s="96">
        <f>N7</f>
        <v>301.329</v>
      </c>
      <c r="F8" s="67">
        <v>4430.621</v>
      </c>
      <c r="G8" s="94">
        <v>25.45</v>
      </c>
      <c r="H8" s="94">
        <f>SUM(E8:G8)</f>
        <v>4757.4</v>
      </c>
      <c r="J8" s="67">
        <v>1940</v>
      </c>
      <c r="K8" s="67">
        <f>M8-J8-L8</f>
        <v>137.39999999999964</v>
      </c>
      <c r="L8" s="94">
        <v>2250</v>
      </c>
      <c r="M8" s="94">
        <f>+H8-N8</f>
        <v>4327.4</v>
      </c>
      <c r="N8" s="94">
        <v>430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1" t="s">
        <v>119</v>
      </c>
      <c r="F11" s="151"/>
      <c r="G11" s="151"/>
      <c r="H11" s="151"/>
      <c r="I11" s="17"/>
      <c r="J11" s="151" t="s">
        <v>86</v>
      </c>
      <c r="K11" s="151"/>
      <c r="L11" s="151"/>
      <c r="M11" s="151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166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140</v>
      </c>
      <c r="B15" s="17"/>
      <c r="C15" s="17"/>
      <c r="D15" s="17"/>
      <c r="E15" s="24"/>
      <c r="F15" s="23"/>
      <c r="G15" s="93"/>
      <c r="H15" s="91"/>
      <c r="I15" s="91"/>
      <c r="J15" s="91"/>
      <c r="K15" s="23"/>
      <c r="L15" s="93"/>
      <c r="M15" s="23"/>
      <c r="N15" s="91"/>
    </row>
    <row r="16" spans="1:14" ht="18.75" customHeight="1">
      <c r="A16" s="15" t="s">
        <v>144</v>
      </c>
      <c r="B16" s="17"/>
      <c r="C16" s="17"/>
      <c r="D16" s="17"/>
      <c r="E16" s="24"/>
      <c r="F16" s="23"/>
      <c r="G16" s="93">
        <f>(22.649047+34.075833+9.902774)*2.204622/60</f>
        <v>2.4481465302798004</v>
      </c>
      <c r="H16" s="91"/>
      <c r="I16" s="91"/>
      <c r="J16" s="91">
        <f>4.036896*2000/60</f>
        <v>134.5632</v>
      </c>
      <c r="K16" s="93"/>
      <c r="L16" s="93">
        <f>(8.635616+2340.934)*2.204622/60</f>
        <v>86.3318810994192</v>
      </c>
      <c r="M16" s="93"/>
      <c r="N16" s="91"/>
    </row>
    <row r="17" spans="1:14" ht="18.75" customHeight="1">
      <c r="A17" s="15" t="s">
        <v>152</v>
      </c>
      <c r="B17" s="17"/>
      <c r="C17" s="17"/>
      <c r="D17" s="17"/>
      <c r="E17" s="24"/>
      <c r="F17" s="23"/>
      <c r="G17" s="93">
        <f>(30.849031+15.402368+14.004607)*2.204622/60</f>
        <v>2.2140286076622</v>
      </c>
      <c r="H17" s="91"/>
      <c r="I17" s="91"/>
      <c r="J17" s="91">
        <f>5.10401*2000/60</f>
        <v>170.13366666666664</v>
      </c>
      <c r="K17" s="93"/>
      <c r="L17" s="93">
        <f>(54.568525+10008.889)*2.204622/60</f>
        <v>369.7686642613425</v>
      </c>
      <c r="M17" s="93"/>
      <c r="N17" s="91"/>
    </row>
    <row r="18" spans="1:14" ht="18.75" customHeight="1">
      <c r="A18" s="15" t="s">
        <v>155</v>
      </c>
      <c r="B18" s="17"/>
      <c r="C18" s="17"/>
      <c r="D18" s="17"/>
      <c r="E18" s="24"/>
      <c r="F18" s="23"/>
      <c r="G18" s="93">
        <f>(18.546383+23.93718+7.668508)*2.204622/60</f>
        <v>1.8427726512027003</v>
      </c>
      <c r="H18" s="91"/>
      <c r="I18" s="91"/>
      <c r="J18" s="91">
        <f>4.973534*2000/60</f>
        <v>165.78446666666665</v>
      </c>
      <c r="K18" s="93"/>
      <c r="L18" s="93">
        <f>(45.311179+9126.091)*2.204622/60</f>
        <v>336.99125024452235</v>
      </c>
      <c r="M18" s="93"/>
      <c r="N18" s="91"/>
    </row>
    <row r="19" spans="1:14" ht="18.75" customHeight="1">
      <c r="A19" s="15" t="s">
        <v>105</v>
      </c>
      <c r="B19" s="17"/>
      <c r="C19" s="17"/>
      <c r="D19" s="17"/>
      <c r="E19" s="24">
        <v>190.61</v>
      </c>
      <c r="F19" s="23">
        <v>3926.339</v>
      </c>
      <c r="G19" s="93">
        <f>SUM(G16:G18)</f>
        <v>6.504947789144701</v>
      </c>
      <c r="H19" s="91">
        <f>E19+F19+G19</f>
        <v>4123.453947789144</v>
      </c>
      <c r="I19" s="91"/>
      <c r="J19" s="91">
        <f>SUM(J16:J18)</f>
        <v>470.4813333333333</v>
      </c>
      <c r="K19" s="92">
        <f>M19-L19-J19</f>
        <v>145.80381885052645</v>
      </c>
      <c r="L19" s="93">
        <f>SUM(L16:L18)</f>
        <v>793.091795605284</v>
      </c>
      <c r="M19" s="93">
        <f>H19-N19</f>
        <v>1409.3769477891437</v>
      </c>
      <c r="N19" s="91">
        <v>2714.077</v>
      </c>
    </row>
    <row r="20" spans="1:14" ht="18.75" customHeight="1">
      <c r="A20" s="15" t="s">
        <v>156</v>
      </c>
      <c r="B20" s="17"/>
      <c r="C20" s="17"/>
      <c r="D20" s="17"/>
      <c r="E20" s="24"/>
      <c r="F20" s="23"/>
      <c r="G20" s="93">
        <f>(23.066654+23.435922+11.862994)*2.204622/60</f>
        <v>2.1445669944090002</v>
      </c>
      <c r="H20" s="91"/>
      <c r="I20" s="91"/>
      <c r="J20" s="91">
        <f>5.011324*2000/60</f>
        <v>167.04413333333335</v>
      </c>
      <c r="K20" s="93"/>
      <c r="L20" s="93">
        <f>(27.739906+6712.677)*2.204622/60</f>
        <v>247.6678566689922</v>
      </c>
      <c r="M20" s="93"/>
      <c r="N20" s="91"/>
    </row>
    <row r="21" spans="1:14" ht="18.75" customHeight="1">
      <c r="A21" s="15" t="s">
        <v>157</v>
      </c>
      <c r="B21" s="17"/>
      <c r="C21" s="17"/>
      <c r="D21" s="17"/>
      <c r="E21" s="24"/>
      <c r="F21" s="23"/>
      <c r="G21" s="93">
        <f>(22.266702+50.066599+5.493654)*2.204622/60</f>
        <v>2.8596502864335</v>
      </c>
      <c r="H21" s="91"/>
      <c r="I21" s="91"/>
      <c r="J21" s="91">
        <f>4.814044*2000/60</f>
        <v>160.46813333333333</v>
      </c>
      <c r="K21" s="93"/>
      <c r="L21" s="93">
        <f>(23.530122+6062.143)*2.204622/60</f>
        <v>223.6101474928314</v>
      </c>
      <c r="M21" s="93"/>
      <c r="N21" s="91"/>
    </row>
    <row r="22" spans="1:14" ht="18.75" customHeight="1">
      <c r="A22" s="15" t="s">
        <v>158</v>
      </c>
      <c r="B22" s="17"/>
      <c r="C22" s="17"/>
      <c r="D22" s="17"/>
      <c r="E22" s="24"/>
      <c r="F22" s="23"/>
      <c r="G22" s="93">
        <f>(13.304847+12.505821+7.999404)*2.204622/60</f>
        <v>1.2423071425464</v>
      </c>
      <c r="H22" s="91"/>
      <c r="I22" s="91"/>
      <c r="J22" s="91">
        <f>4.638663*2000/60</f>
        <v>154.62210000000002</v>
      </c>
      <c r="K22" s="93"/>
      <c r="L22" s="93">
        <f>(37.698284+5645.763)*2.204622/60</f>
        <v>208.8313963809108</v>
      </c>
      <c r="M22" s="93"/>
      <c r="N22" s="91"/>
    </row>
    <row r="23" spans="1:14" ht="18.75" customHeight="1">
      <c r="A23" s="15" t="s">
        <v>106</v>
      </c>
      <c r="B23" s="17"/>
      <c r="C23" s="17"/>
      <c r="D23" s="17"/>
      <c r="E23" s="24">
        <f>N19</f>
        <v>2714.077</v>
      </c>
      <c r="F23" s="23"/>
      <c r="G23" s="93">
        <f>SUM(G20:G22)</f>
        <v>6.2465244233889</v>
      </c>
      <c r="H23" s="91">
        <f>E23+F23+G23</f>
        <v>2720.3235244233892</v>
      </c>
      <c r="I23" s="91"/>
      <c r="J23" s="91">
        <f>SUM(J20:J22)</f>
        <v>482.13436666666666</v>
      </c>
      <c r="K23" s="92">
        <f>M23-L23-J23</f>
        <v>27.17375721398821</v>
      </c>
      <c r="L23" s="93">
        <f>SUM(L20:L22)</f>
        <v>680.1094005427344</v>
      </c>
      <c r="M23" s="93">
        <f>H23-N23</f>
        <v>1189.4175244233893</v>
      </c>
      <c r="N23" s="91">
        <v>1530.906</v>
      </c>
    </row>
    <row r="24" spans="1:14" ht="18.75" customHeight="1">
      <c r="A24" s="15" t="s">
        <v>161</v>
      </c>
      <c r="B24" s="17"/>
      <c r="C24" s="17"/>
      <c r="D24" s="17"/>
      <c r="E24" s="24"/>
      <c r="F24" s="23"/>
      <c r="G24" s="93">
        <f>(8.5332+45.147015+14.241051)*2.204622/60</f>
        <v>2.4956786215242</v>
      </c>
      <c r="H24" s="91"/>
      <c r="I24" s="91"/>
      <c r="J24" s="91">
        <f>4.991626*2000/60</f>
        <v>166.38753333333335</v>
      </c>
      <c r="K24" s="92"/>
      <c r="L24" s="93">
        <f>(43.53564+2599.246)*2.204622/60</f>
        <v>97.105575745668</v>
      </c>
      <c r="M24" s="93"/>
      <c r="N24" s="91"/>
    </row>
    <row r="25" spans="1:14" ht="18.75" customHeight="1">
      <c r="A25" s="15" t="s">
        <v>162</v>
      </c>
      <c r="B25" s="17"/>
      <c r="C25" s="17"/>
      <c r="D25" s="17"/>
      <c r="E25" s="24"/>
      <c r="F25" s="23"/>
      <c r="G25" s="93">
        <f>(3.191769+38.467305+8.10455)*2.204622/60</f>
        <v>1.8284996711688002</v>
      </c>
      <c r="H25" s="91"/>
      <c r="I25" s="91"/>
      <c r="J25" s="91">
        <f>4.74509*2000/60</f>
        <v>158.16966666666667</v>
      </c>
      <c r="K25" s="92"/>
      <c r="L25" s="93">
        <f>(39.4526+1320.232)*2.204622/60</f>
        <v>49.95984303702001</v>
      </c>
      <c r="M25" s="93"/>
      <c r="N25" s="91"/>
    </row>
    <row r="26" spans="1:12" ht="18.75" customHeight="1">
      <c r="A26" s="15" t="s">
        <v>163</v>
      </c>
      <c r="B26" s="17"/>
      <c r="C26" s="17"/>
      <c r="D26" s="17"/>
      <c r="E26" s="24"/>
      <c r="F26" s="23"/>
      <c r="G26" s="93">
        <f>(2.886129+13.662162+6.032734)*2.204622/60</f>
        <v>0.8297104082925</v>
      </c>
      <c r="J26" s="91">
        <f>4.825833*2000/60</f>
        <v>160.86110000000002</v>
      </c>
      <c r="L26" s="93">
        <f>(40.802278+846.531)*2.204622/60</f>
        <v>32.6039077668486</v>
      </c>
    </row>
    <row r="27" spans="1:14" ht="18.75" customHeight="1">
      <c r="A27" s="15" t="s">
        <v>107</v>
      </c>
      <c r="B27" s="17"/>
      <c r="C27" s="17"/>
      <c r="D27" s="17"/>
      <c r="E27" s="24">
        <f>N23</f>
        <v>1530.906</v>
      </c>
      <c r="F27" s="23"/>
      <c r="G27" s="93">
        <f>SUM(G24:G26)</f>
        <v>5.1538887009855</v>
      </c>
      <c r="H27" s="91">
        <f>E27+F27+G27</f>
        <v>1536.0598887009855</v>
      </c>
      <c r="I27" s="91"/>
      <c r="J27" s="91">
        <f>SUM(J24:J26)</f>
        <v>485.41830000000004</v>
      </c>
      <c r="K27" s="92">
        <f>M27-L27-J27</f>
        <v>-0.8087378485511181</v>
      </c>
      <c r="L27" s="93">
        <f>SUM(L24:L26)</f>
        <v>179.66932654953663</v>
      </c>
      <c r="M27" s="93">
        <f>H27-N27</f>
        <v>664.2788887009856</v>
      </c>
      <c r="N27" s="91">
        <v>871.781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(22.183655+32.099879+10.748688)*2.204622/60</f>
        <v>2.3895244555014004</v>
      </c>
      <c r="H28" s="91"/>
      <c r="I28" s="91"/>
      <c r="J28" s="91">
        <f>4.623752*2000/60</f>
        <v>154.12506666666664</v>
      </c>
      <c r="K28" s="92"/>
      <c r="L28" s="93">
        <f>(43.343375+1008.726)*2.204622/60</f>
        <v>38.6569214941875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(9.669726+23.795206+5.550528)*2.204622/60</f>
        <v>1.433572357602</v>
      </c>
      <c r="H29" s="91"/>
      <c r="I29" s="91"/>
      <c r="J29" s="91">
        <f>4.603543*2000/60</f>
        <v>153.45143333333334</v>
      </c>
      <c r="K29" s="92"/>
      <c r="L29" s="93">
        <f>(33.198159+2628.604)*2.204622/60</f>
        <v>97.8044599896483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(3.865499+36.545759+8.908269)*2.204622/60</f>
        <v>1.8121819042298997</v>
      </c>
      <c r="H30" s="91"/>
      <c r="I30" s="91"/>
      <c r="J30" s="91">
        <f>4.218789*2000/60</f>
        <v>140.6263</v>
      </c>
      <c r="K30" s="92"/>
      <c r="L30" s="93">
        <f>(66.074229+4095.847)*2.204622/60</f>
        <v>152.92438506200733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871.781</v>
      </c>
      <c r="F31" s="23"/>
      <c r="G31" s="93">
        <f>SUM(G28:G30)</f>
        <v>5.6352787173333</v>
      </c>
      <c r="H31" s="91">
        <f>SUM(E31:G31)</f>
        <v>877.4162787173333</v>
      </c>
      <c r="I31" s="91"/>
      <c r="J31" s="91">
        <f>SUM(J28:J30)</f>
        <v>448.2028</v>
      </c>
      <c r="K31" s="92">
        <f>M31-L31-J31</f>
        <v>-56.90128782850991</v>
      </c>
      <c r="L31" s="93">
        <f>SUM(L28:L30)</f>
        <v>289.3857665458431</v>
      </c>
      <c r="M31" s="93">
        <f>+H31-N31</f>
        <v>680.6872787173332</v>
      </c>
      <c r="N31" s="91">
        <v>196.729</v>
      </c>
    </row>
    <row r="32" spans="1:14" ht="18.75" customHeight="1">
      <c r="A32" s="17" t="s">
        <v>3</v>
      </c>
      <c r="B32" s="17"/>
      <c r="C32" s="17"/>
      <c r="D32" s="17"/>
      <c r="E32" s="24"/>
      <c r="F32" s="26">
        <f>F19+F23+F27</f>
        <v>3926.339</v>
      </c>
      <c r="G32" s="93">
        <f>G19+G23+G27+G31</f>
        <v>23.5406396308524</v>
      </c>
      <c r="H32" s="91">
        <f>E19+F32+G32</f>
        <v>4140.489639630852</v>
      </c>
      <c r="I32" s="91"/>
      <c r="J32" s="91">
        <f>J19+J23+J27+J31</f>
        <v>1886.2368000000001</v>
      </c>
      <c r="K32" s="120">
        <f>K19+K23+K27+K31</f>
        <v>115.26755038745364</v>
      </c>
      <c r="L32" s="93">
        <f>L19+L23+L27+L31</f>
        <v>1942.2562892433982</v>
      </c>
      <c r="M32" s="93">
        <f>M19+M23+M27+M31</f>
        <v>3943.760639630852</v>
      </c>
      <c r="N32" s="12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26"/>
      <c r="N33" s="121"/>
    </row>
    <row r="34" spans="1:14" ht="18.75" customHeight="1">
      <c r="A34" s="15" t="s">
        <v>164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26"/>
      <c r="N34" s="121"/>
    </row>
    <row r="35" spans="1:14" ht="18.75" customHeight="1">
      <c r="A35" s="17" t="s">
        <v>144</v>
      </c>
      <c r="B35" s="17"/>
      <c r="C35" s="17"/>
      <c r="D35" s="17"/>
      <c r="E35" s="24"/>
      <c r="F35" s="26"/>
      <c r="G35" s="93">
        <f>(12.140982+44.365888+5.969151)*2.204622/60</f>
        <v>2.2956001728177</v>
      </c>
      <c r="H35" s="91"/>
      <c r="I35" s="91"/>
      <c r="J35" s="91">
        <f>4.148008*2000/60</f>
        <v>138.26693333333333</v>
      </c>
      <c r="K35" s="120"/>
      <c r="L35" s="93">
        <f>(34.073378+3681.848)*2.204622/60</f>
        <v>136.53670033681863</v>
      </c>
      <c r="M35" s="26"/>
      <c r="N35" s="121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3">
        <f>(13.811565+29.41625+4.478324)*2.204622/60</f>
        <v>1.7529000595743</v>
      </c>
      <c r="H36" s="91"/>
      <c r="I36" s="91"/>
      <c r="J36" s="91">
        <f>5.276415*2000/60</f>
        <v>175.8805</v>
      </c>
      <c r="K36" s="120"/>
      <c r="L36" s="93">
        <f>(69.837116+11147.093)*2.204622/60</f>
        <v>412.1515151032693</v>
      </c>
      <c r="M36" s="26"/>
      <c r="N36" s="121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3">
        <f>(6.25616+26.146455+5.06881)*2.204622/60</f>
        <v>1.3768387987725</v>
      </c>
      <c r="H37" s="91"/>
      <c r="I37" s="91"/>
      <c r="J37" s="91">
        <f>5.122038*2000/60</f>
        <v>170.73459999999997</v>
      </c>
      <c r="K37" s="120"/>
      <c r="L37" s="93">
        <f>(56.047981+10209.532)*2.204622/60</f>
        <v>377.19539114786966</v>
      </c>
      <c r="M37" s="26"/>
      <c r="N37" s="121"/>
    </row>
    <row r="38" spans="1:14" ht="18.75" customHeight="1">
      <c r="A38" s="15" t="s">
        <v>105</v>
      </c>
      <c r="B38" s="17"/>
      <c r="C38" s="17"/>
      <c r="D38" s="17"/>
      <c r="E38" s="24">
        <f>N31</f>
        <v>196.729</v>
      </c>
      <c r="F38" s="23">
        <v>4296.086</v>
      </c>
      <c r="G38" s="93">
        <f>G35+G36+G37</f>
        <v>5.4253390311645</v>
      </c>
      <c r="H38" s="91">
        <f>SUM(E38:G38)</f>
        <v>4498.240339031165</v>
      </c>
      <c r="I38" s="91"/>
      <c r="J38" s="91">
        <f>J35+J36+J37</f>
        <v>484.8820333333333</v>
      </c>
      <c r="K38" s="92">
        <f>M38-L38-J38</f>
        <v>189.09569910987398</v>
      </c>
      <c r="L38" s="93">
        <f>L35+L36+L37</f>
        <v>925.8836065879575</v>
      </c>
      <c r="M38" s="93">
        <f>H38-N38</f>
        <v>1599.8613390311648</v>
      </c>
      <c r="N38" s="91">
        <v>2898.379</v>
      </c>
    </row>
    <row r="39" spans="1:14" ht="18.75" customHeight="1">
      <c r="A39" s="15" t="s">
        <v>156</v>
      </c>
      <c r="B39" s="17"/>
      <c r="C39" s="17"/>
      <c r="D39" s="17"/>
      <c r="E39" s="24"/>
      <c r="F39" s="26"/>
      <c r="G39" s="93">
        <f>(4.172442+23.85058+3.852958)*2.204622/60</f>
        <v>1.1712414463260001</v>
      </c>
      <c r="H39" s="91"/>
      <c r="I39" s="91"/>
      <c r="J39" s="91">
        <f>5.071493*2000/60</f>
        <v>169.04976666666667</v>
      </c>
      <c r="K39" s="93"/>
      <c r="L39" s="93">
        <f>(40.570246+7941.343)*2.204622/60</f>
        <v>293.2850257370502</v>
      </c>
      <c r="M39" s="26"/>
      <c r="N39" s="121"/>
    </row>
    <row r="40" spans="1:14" ht="18.75" customHeight="1">
      <c r="A40" s="15" t="s">
        <v>157</v>
      </c>
      <c r="B40" s="17"/>
      <c r="C40" s="17"/>
      <c r="D40" s="17"/>
      <c r="E40" s="24"/>
      <c r="F40" s="26"/>
      <c r="G40" s="93">
        <f>(9.076343+55.123913+23.018611)*2.204622/60</f>
        <v>3.2047438833879</v>
      </c>
      <c r="H40" s="91"/>
      <c r="I40" s="91"/>
      <c r="J40" s="91">
        <f>5.124204*2000/60</f>
        <v>170.80679999999998</v>
      </c>
      <c r="K40" s="93"/>
      <c r="L40" s="93">
        <f>(56.504787+7366.494)*2.204622/60</f>
        <v>272.74844052989187</v>
      </c>
      <c r="M40" s="26"/>
      <c r="N40" s="121"/>
    </row>
    <row r="41" spans="1:14" ht="18.75" customHeight="1">
      <c r="A41" s="15" t="s">
        <v>158</v>
      </c>
      <c r="B41" s="17"/>
      <c r="C41" s="17"/>
      <c r="D41" s="17"/>
      <c r="E41" s="24"/>
      <c r="F41" s="26"/>
      <c r="G41" s="93">
        <f>(12.779452+42.072277+6.673116)*2.204622/60</f>
        <v>2.2606504472265003</v>
      </c>
      <c r="H41" s="91"/>
      <c r="I41" s="91"/>
      <c r="J41" s="91">
        <f>4.530088*2000/60</f>
        <v>151.00293333333332</v>
      </c>
      <c r="K41" s="93"/>
      <c r="L41" s="93">
        <f>(49.270676+4366.775)*2.204622/60</f>
        <v>162.26185750524118</v>
      </c>
      <c r="M41" s="26"/>
      <c r="N41" s="121"/>
    </row>
    <row r="42" spans="1:14" ht="18.75" customHeight="1">
      <c r="A42" s="15" t="s">
        <v>106</v>
      </c>
      <c r="B42" s="17"/>
      <c r="C42" s="17"/>
      <c r="D42" s="17"/>
      <c r="E42" s="24">
        <f>N38</f>
        <v>2898.379</v>
      </c>
      <c r="F42" s="23"/>
      <c r="G42" s="93">
        <f>SUM(G39:G41)</f>
        <v>6.6366357769404</v>
      </c>
      <c r="H42" s="91">
        <f>E42+F42+G42</f>
        <v>2905.01563577694</v>
      </c>
      <c r="I42" s="91"/>
      <c r="J42" s="91">
        <f>SUM(J39:J41)</f>
        <v>490.85949999999997</v>
      </c>
      <c r="K42" s="92">
        <f>M42-L42-J42</f>
        <v>-52.82618799524295</v>
      </c>
      <c r="L42" s="93">
        <f>SUM(L39:L41)</f>
        <v>728.2953237721832</v>
      </c>
      <c r="M42" s="93">
        <f>H42-N42</f>
        <v>1166.3286357769402</v>
      </c>
      <c r="N42" s="91">
        <v>1738.687</v>
      </c>
    </row>
    <row r="43" spans="1:14" ht="18.75" customHeight="1">
      <c r="A43" s="15" t="s">
        <v>161</v>
      </c>
      <c r="B43" s="17"/>
      <c r="C43" s="17"/>
      <c r="D43" s="17"/>
      <c r="E43" s="24"/>
      <c r="F43" s="23"/>
      <c r="G43" s="93">
        <f>(12.811388+30.642647+17.025345)*2.204622/60</f>
        <v>2.2222361949060003</v>
      </c>
      <c r="H43" s="91"/>
      <c r="I43" s="91"/>
      <c r="J43" s="91">
        <f>4.800052*2000/60</f>
        <v>160.00173333333333</v>
      </c>
      <c r="K43" s="92"/>
      <c r="L43" s="93">
        <f>(69.313126+3051.288)*2.204622/60</f>
        <v>114.6624315934062</v>
      </c>
      <c r="M43" s="93"/>
      <c r="N43" s="91"/>
    </row>
    <row r="44" spans="1:14" ht="18.75" customHeight="1">
      <c r="A44" s="15" t="s">
        <v>162</v>
      </c>
      <c r="B44" s="17"/>
      <c r="C44" s="17"/>
      <c r="D44" s="17"/>
      <c r="E44" s="24"/>
      <c r="F44" s="23"/>
      <c r="G44" s="93">
        <f>(8.582125+28.967068+6.119378)*2.204622/60</f>
        <v>1.6045448722527</v>
      </c>
      <c r="H44" s="91"/>
      <c r="I44" s="91"/>
      <c r="J44" s="91">
        <f>4.492906*2000/60</f>
        <v>149.76353333333333</v>
      </c>
      <c r="K44" s="92"/>
      <c r="L44" s="93">
        <f>(62.294194+2370.22)*2.204622/60</f>
        <v>89.37957179007779</v>
      </c>
      <c r="M44" s="93"/>
      <c r="N44" s="91"/>
    </row>
    <row r="45" spans="1:14" ht="18.75" customHeight="1">
      <c r="A45" s="15" t="s">
        <v>163</v>
      </c>
      <c r="B45" s="17"/>
      <c r="C45" s="17"/>
      <c r="D45" s="17"/>
      <c r="E45" s="24"/>
      <c r="F45" s="23"/>
      <c r="G45" s="93">
        <f>(8.8507+42.500566+6.529572)*2.204622/60</f>
        <v>2.1267561472206</v>
      </c>
      <c r="H45" s="91"/>
      <c r="I45" s="91"/>
      <c r="J45" s="91">
        <f>4.739387*2000/60</f>
        <v>157.97956666666667</v>
      </c>
      <c r="K45" s="92"/>
      <c r="L45" s="93">
        <f>(48.508116+1401.462)*2.204622/60</f>
        <v>53.277266951269205</v>
      </c>
      <c r="M45" s="93"/>
      <c r="N45" s="91"/>
    </row>
    <row r="46" spans="1:14" ht="18.75" customHeight="1">
      <c r="A46" s="15" t="s">
        <v>107</v>
      </c>
      <c r="B46" s="17"/>
      <c r="C46" s="17"/>
      <c r="D46" s="17"/>
      <c r="E46" s="24">
        <f>N42</f>
        <v>1738.687</v>
      </c>
      <c r="F46" s="23"/>
      <c r="G46" s="93">
        <f>SUM(G43:G45)</f>
        <v>5.953537214379301</v>
      </c>
      <c r="H46" s="91">
        <f>E46+F46+G46</f>
        <v>1744.6405372143793</v>
      </c>
      <c r="I46" s="91"/>
      <c r="J46" s="91">
        <f>SUM(J43:J45)</f>
        <v>467.7448333333333</v>
      </c>
      <c r="K46" s="92">
        <f>M46-L46-J46</f>
        <v>53.65643354629276</v>
      </c>
      <c r="L46" s="93">
        <f>SUM(L43:L45)</f>
        <v>257.3192703347532</v>
      </c>
      <c r="M46" s="93">
        <f>H46-N46</f>
        <v>778.7205372143793</v>
      </c>
      <c r="N46" s="91">
        <v>965.92</v>
      </c>
    </row>
    <row r="47" spans="1:14" ht="18.75" customHeight="1">
      <c r="A47" s="15" t="s">
        <v>82</v>
      </c>
      <c r="B47" s="17"/>
      <c r="C47" s="17"/>
      <c r="D47" s="17"/>
      <c r="E47" s="24"/>
      <c r="F47" s="23"/>
      <c r="G47" s="93">
        <f>(4.98816+15.473421+8.217032)*2.204622/60</f>
        <v>1.0537583524881</v>
      </c>
      <c r="H47" s="91"/>
      <c r="I47" s="91"/>
      <c r="J47" s="91">
        <f>4.446863*2000/60</f>
        <v>148.22876666666664</v>
      </c>
      <c r="K47" s="92"/>
      <c r="L47" s="93">
        <f>(45.783266+1749.668)*2.204622/60</f>
        <v>65.9715226825242</v>
      </c>
      <c r="M47" s="93"/>
      <c r="N47" s="91"/>
    </row>
    <row r="48" spans="1:14" ht="18.75" customHeight="1">
      <c r="A48" s="15" t="s">
        <v>143</v>
      </c>
      <c r="B48" s="17"/>
      <c r="C48" s="17"/>
      <c r="D48" s="17"/>
      <c r="E48" s="24"/>
      <c r="F48" s="23"/>
      <c r="G48" s="93">
        <f>(3.509596+37.139519+6.116628)*2.204622/60</f>
        <v>1.7183464310691001</v>
      </c>
      <c r="H48" s="91"/>
      <c r="I48" s="91"/>
      <c r="J48" s="91">
        <f>4.66868*2000/60</f>
        <v>155.62266666666667</v>
      </c>
      <c r="K48" s="92"/>
      <c r="L48" s="93">
        <f>(28.793709+2234.169)*2.204622/60</f>
        <v>83.1496228906833</v>
      </c>
      <c r="M48" s="93"/>
      <c r="N48" s="91"/>
    </row>
    <row r="49" spans="1:14" ht="18.75" customHeight="1">
      <c r="A49" s="15" t="s">
        <v>85</v>
      </c>
      <c r="B49" s="17"/>
      <c r="C49" s="17"/>
      <c r="D49" s="17"/>
      <c r="E49" s="24"/>
      <c r="F49" s="23"/>
      <c r="G49" s="93">
        <f>(3.239739+29.130588+7.20543)*2.204622/60</f>
        <v>1.4541597424809</v>
      </c>
      <c r="H49" s="91"/>
      <c r="I49" s="91"/>
      <c r="J49" s="91">
        <f>4.548592*2000/60</f>
        <v>151.61973333333336</v>
      </c>
      <c r="K49" s="92"/>
      <c r="L49" s="93">
        <f>(42.412569+3033.848)*2.204622/60</f>
        <v>113.0331954691653</v>
      </c>
      <c r="M49" s="93"/>
      <c r="N49" s="91"/>
    </row>
    <row r="50" spans="1:14" ht="18.75" customHeight="1">
      <c r="A50" s="40" t="s">
        <v>108</v>
      </c>
      <c r="B50" s="17"/>
      <c r="C50" s="17"/>
      <c r="D50" s="17"/>
      <c r="E50" s="24">
        <f>N46</f>
        <v>965.92</v>
      </c>
      <c r="F50" s="23"/>
      <c r="G50" s="93">
        <f>SUM(G47:G49)</f>
        <v>4.226264526038101</v>
      </c>
      <c r="H50" s="91">
        <f>SUM(E50:G50)</f>
        <v>970.1462645260381</v>
      </c>
      <c r="I50" s="91"/>
      <c r="J50" s="91">
        <f>SUM(J47:J49)</f>
        <v>455.4711666666667</v>
      </c>
      <c r="K50" s="92">
        <f>M50-L50-J50</f>
        <v>-48.80824318300142</v>
      </c>
      <c r="L50" s="93">
        <f>SUM(L47:L49)</f>
        <v>262.15434104237283</v>
      </c>
      <c r="M50" s="93">
        <f>+H50-N50</f>
        <v>668.8172645260381</v>
      </c>
      <c r="N50" s="91">
        <v>301.329</v>
      </c>
    </row>
    <row r="51" spans="1:14" ht="18.75" customHeight="1">
      <c r="A51" s="14" t="s">
        <v>167</v>
      </c>
      <c r="B51" s="14"/>
      <c r="C51" s="14"/>
      <c r="D51" s="14"/>
      <c r="E51" s="27"/>
      <c r="F51" s="103">
        <f>F38+F42+F46+F50</f>
        <v>4296.086</v>
      </c>
      <c r="G51" s="104">
        <f>G38+G42+G46+G50</f>
        <v>22.241776548522303</v>
      </c>
      <c r="H51" s="61">
        <f>E38+F51+G51</f>
        <v>4515.056776548523</v>
      </c>
      <c r="I51" s="61"/>
      <c r="J51" s="61">
        <f>J38+J42+J46+J50</f>
        <v>1898.9575333333332</v>
      </c>
      <c r="K51" s="126">
        <f>K38+K42+K46+K50</f>
        <v>141.11770147792237</v>
      </c>
      <c r="L51" s="104">
        <f>L38+L42+L46+L50</f>
        <v>2173.652541737267</v>
      </c>
      <c r="M51" s="104">
        <f>M38+M42+M46+M50</f>
        <v>4213.727776548522</v>
      </c>
      <c r="N51" s="123"/>
    </row>
    <row r="52" spans="1:14" ht="18.75" customHeight="1">
      <c r="A52" s="42" t="s">
        <v>130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17"/>
      <c r="N52" s="17"/>
    </row>
    <row r="53" spans="1:14" ht="15.75">
      <c r="A53" s="15" t="s">
        <v>104</v>
      </c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>
      <c r="A54" s="46" t="s">
        <v>96</v>
      </c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5.75">
      <c r="A55" s="15" t="s">
        <v>26</v>
      </c>
      <c r="B55" s="25">
        <f ca="1">NOW()</f>
        <v>43024.41879780093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ht="12.75">
      <c r="F61" s="4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15:73" ht="12.7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  <row r="550" spans="15:73" ht="12.7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</row>
    <row r="551" spans="15:73" ht="12.7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</row>
    <row r="552" spans="15:73" ht="12.7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</row>
    <row r="553" spans="15:73" ht="12.75"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</row>
    <row r="554" spans="15:73" ht="12.75"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38 K31 K27 K23 K19 K42 K46 K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0" t="s">
        <v>146</v>
      </c>
      <c r="C5" s="150"/>
      <c r="D5" s="150"/>
      <c r="E5" s="150"/>
      <c r="F5" s="150"/>
      <c r="G5" s="150"/>
      <c r="H5" s="150"/>
      <c r="I5" s="150"/>
      <c r="J5" s="150"/>
    </row>
    <row r="6" spans="1:10" ht="18.75">
      <c r="A6" s="15" t="s">
        <v>169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v>44636</v>
      </c>
      <c r="D7" s="111">
        <v>350</v>
      </c>
      <c r="E7" s="111">
        <f>+B7+C7+D7</f>
        <v>45249.886</v>
      </c>
      <c r="F7" s="111"/>
      <c r="G7" s="111">
        <f>+I7-H7</f>
        <v>33299.886</v>
      </c>
      <c r="H7" s="111">
        <v>11650</v>
      </c>
      <c r="I7" s="111">
        <f>+E7-J7</f>
        <v>44949.886</v>
      </c>
      <c r="J7" s="111">
        <v>300</v>
      </c>
    </row>
    <row r="8" spans="1:10" ht="18.75">
      <c r="A8" s="15" t="s">
        <v>168</v>
      </c>
      <c r="B8" s="112">
        <f>J7</f>
        <v>300</v>
      </c>
      <c r="C8" s="111">
        <v>46100</v>
      </c>
      <c r="D8" s="111">
        <v>300</v>
      </c>
      <c r="E8" s="111">
        <f>+B8+C8+D8</f>
        <v>46700</v>
      </c>
      <c r="F8" s="111"/>
      <c r="G8" s="111">
        <f>+I8-H8</f>
        <v>34200</v>
      </c>
      <c r="H8" s="111">
        <v>12200</v>
      </c>
      <c r="I8" s="111">
        <f>+E8-J8</f>
        <v>46400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164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>SUM(B32:D32)</f>
        <v>3872.904590441138</v>
      </c>
      <c r="F32" s="110"/>
      <c r="G32" s="114">
        <f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>SUM(B33:D33)</f>
        <v>4174.056686201101</v>
      </c>
      <c r="F33" s="110"/>
      <c r="G33" s="114">
        <f>I33-H33</f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>SUM(B34:D34)</f>
        <v>3948.384452059925</v>
      </c>
      <c r="F34" s="110"/>
      <c r="G34" s="114">
        <f>I34-H34</f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>SUM(B35:D35)</f>
        <v>4006.1068482164337</v>
      </c>
      <c r="F35" s="110"/>
      <c r="G35" s="114">
        <f>I35-H35</f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>SUM(B36:D36)</f>
        <v>4010.829814267326</v>
      </c>
      <c r="F36" s="110"/>
      <c r="G36" s="114">
        <f>I36-H36</f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4" t="s">
        <v>167</v>
      </c>
      <c r="B37" s="122"/>
      <c r="C37" s="104">
        <f>SUM(C26:C36)</f>
        <v>41324.6</v>
      </c>
      <c r="D37" s="104">
        <f>SUM(D26:D36)</f>
        <v>322.55467112773806</v>
      </c>
      <c r="E37" s="104">
        <f>B26+C37+D37</f>
        <v>41911.04067112773</v>
      </c>
      <c r="F37" s="107">
        <f>SUM(F16:F17)</f>
        <v>0</v>
      </c>
      <c r="G37" s="104">
        <f>SUM(G26:G36)</f>
        <v>30671.09602290394</v>
      </c>
      <c r="H37" s="104">
        <f>SUM(H26:H36)</f>
        <v>10913.464648223804</v>
      </c>
      <c r="I37" s="104">
        <f>SUM(I26:I36)</f>
        <v>41584.56067112774</v>
      </c>
      <c r="J37" s="104"/>
      <c r="K37" s="110"/>
      <c r="L37" s="110"/>
    </row>
    <row r="38" spans="1:10" ht="18.75">
      <c r="A38" s="43" t="s">
        <v>131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5" t="s">
        <v>102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26</v>
      </c>
      <c r="B40" s="25">
        <f ca="1">NOW()</f>
        <v>43024.41879780093</v>
      </c>
      <c r="C40" s="26"/>
      <c r="D40" s="22"/>
      <c r="E40" s="22"/>
      <c r="F40" s="22"/>
      <c r="G40" s="22"/>
      <c r="H40" s="22"/>
      <c r="I40" s="22"/>
      <c r="J40" s="22"/>
    </row>
    <row r="41" spans="8:10" ht="12.75">
      <c r="H41" s="3"/>
      <c r="I41" s="3"/>
      <c r="J41" s="3"/>
    </row>
    <row r="42" spans="1:10" ht="12.75">
      <c r="A42" s="1"/>
      <c r="B42" s="3"/>
      <c r="C42" s="4"/>
      <c r="D42" s="3"/>
      <c r="E42" s="3"/>
      <c r="F42" s="3"/>
      <c r="G42" s="3"/>
      <c r="H42" s="5"/>
      <c r="I42" s="3"/>
      <c r="J42" s="3"/>
    </row>
    <row r="43" spans="1:10" ht="12.75">
      <c r="A43" s="1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165</v>
      </c>
      <c r="J4" s="47"/>
      <c r="K4" s="47"/>
      <c r="L4" s="32" t="s">
        <v>124</v>
      </c>
    </row>
    <row r="5" spans="1:12" ht="15.75">
      <c r="A5" s="15"/>
      <c r="B5" s="149" t="s">
        <v>153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169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v>22020</v>
      </c>
      <c r="D8" s="78">
        <v>325</v>
      </c>
      <c r="E8" s="78">
        <f>+B8+C8+D8</f>
        <v>24031.813000000002</v>
      </c>
      <c r="F8" s="78"/>
      <c r="G8" s="78">
        <f>+K8-J8</f>
        <v>19849.813000000002</v>
      </c>
      <c r="H8" s="78">
        <v>6200</v>
      </c>
      <c r="I8" s="78">
        <f>G8-H8</f>
        <v>13649.813000000002</v>
      </c>
      <c r="J8" s="78">
        <v>2550</v>
      </c>
      <c r="K8" s="78">
        <f>+E8-L8</f>
        <v>22399.813000000002</v>
      </c>
      <c r="L8" s="78">
        <v>1632</v>
      </c>
      <c r="M8" s="59"/>
    </row>
    <row r="9" spans="1:13" ht="18.75">
      <c r="A9" s="15" t="s">
        <v>168</v>
      </c>
      <c r="B9" s="78">
        <f>+L8</f>
        <v>1632</v>
      </c>
      <c r="C9" s="78">
        <v>22505</v>
      </c>
      <c r="D9" s="78">
        <v>300</v>
      </c>
      <c r="E9" s="78">
        <f>+B9+C9+D9</f>
        <v>24437</v>
      </c>
      <c r="F9" s="78"/>
      <c r="G9" s="78">
        <f>+K9-J9</f>
        <v>20800</v>
      </c>
      <c r="H9" s="78">
        <v>7000</v>
      </c>
      <c r="I9" s="78">
        <f>G9-H9</f>
        <v>13800</v>
      </c>
      <c r="J9" s="78">
        <v>2100</v>
      </c>
      <c r="K9" s="78">
        <f>+E9-L9</f>
        <v>22900</v>
      </c>
      <c r="L9" s="78">
        <v>1537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164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7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>SUM(B34:D34)</f>
        <v>4117.3188390986625</v>
      </c>
      <c r="F34" s="110"/>
      <c r="G34" s="110">
        <f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>SUM(B35:D35)</f>
        <v>4104.677207686022</v>
      </c>
      <c r="F35" s="110"/>
      <c r="G35" s="110">
        <f>K35-J35</f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>E35-L35</f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>SUM(B36:D36)</f>
        <v>4029.1523148585225</v>
      </c>
      <c r="F36" s="110"/>
      <c r="G36" s="110">
        <f>K36-J36</f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>E36-L36</f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>SUM(B37:D37)</f>
        <v>3966.779222454524</v>
      </c>
      <c r="F37" s="110"/>
      <c r="G37" s="110">
        <f>K37-J37</f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>E37-L37</f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>SUM(B38:D38)</f>
        <v>3782.143645419188</v>
      </c>
      <c r="F38" s="110"/>
      <c r="G38" s="110">
        <f>K38-J38</f>
        <v>1808.5496725403723</v>
      </c>
      <c r="H38" s="110" t="s">
        <v>10</v>
      </c>
      <c r="I38" s="110" t="s">
        <v>10</v>
      </c>
      <c r="J38" s="110">
        <f>(58.152578+0.182461+15.403299+0.24939)*2.204622</f>
        <v>163.11497287881602</v>
      </c>
      <c r="K38" s="110">
        <f>E38-L38</f>
        <v>1971.6646454191882</v>
      </c>
      <c r="L38" s="110">
        <f>1483.031+327.448</f>
        <v>1810.4789999999998</v>
      </c>
    </row>
    <row r="39" spans="1:12" ht="15.75">
      <c r="A39" s="14" t="s">
        <v>167</v>
      </c>
      <c r="B39" s="107"/>
      <c r="C39" s="129">
        <f>SUM(C28:C38)</f>
        <v>20397.001</v>
      </c>
      <c r="D39" s="107">
        <f>SUM(D28:D38)</f>
        <v>300.24248112041397</v>
      </c>
      <c r="E39" s="104">
        <f>B28+C39+D39</f>
        <v>22384.056481120413</v>
      </c>
      <c r="F39" s="107"/>
      <c r="G39" s="104">
        <f>SUM(G28:G38)</f>
        <v>18147.42605006568</v>
      </c>
      <c r="H39" s="104">
        <f>SUM(H28:H38)</f>
        <v>4988.219999999999</v>
      </c>
      <c r="I39" s="104">
        <f>SUM(I28:I38)</f>
        <v>11350.656377525307</v>
      </c>
      <c r="J39" s="104">
        <f>SUM(J28:J38)</f>
        <v>2426.151431054736</v>
      </c>
      <c r="K39" s="104">
        <f>SUM(K28:K38)</f>
        <v>20573.577481120414</v>
      </c>
      <c r="L39" s="107"/>
    </row>
    <row r="40" spans="1:12" ht="18.75">
      <c r="A40" s="43" t="s">
        <v>154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 t="s">
        <v>102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26</v>
      </c>
      <c r="B42" s="25">
        <f ca="1">NOW()</f>
        <v>43024.41879780093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26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1" t="s">
        <v>0</v>
      </c>
      <c r="C2" s="151"/>
      <c r="D2" s="151"/>
      <c r="E2" s="151"/>
      <c r="F2" s="28"/>
      <c r="G2" s="151" t="s">
        <v>24</v>
      </c>
      <c r="H2" s="151"/>
      <c r="I2" s="151"/>
      <c r="J2" s="151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0" t="s">
        <v>18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169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168</v>
      </c>
      <c r="B9" s="69">
        <f>+K8</f>
        <v>399</v>
      </c>
      <c r="C9" s="69">
        <v>6676</v>
      </c>
      <c r="D9" s="80">
        <v>0</v>
      </c>
      <c r="E9" s="69">
        <f>+B9+C9+D9</f>
        <v>7075</v>
      </c>
      <c r="F9" s="29"/>
      <c r="G9" s="69">
        <v>2400</v>
      </c>
      <c r="H9" s="84">
        <v>360</v>
      </c>
      <c r="I9" s="69">
        <f>J9-G9-H9</f>
        <v>3900</v>
      </c>
      <c r="J9" s="69">
        <f>E9-K9</f>
        <v>6660</v>
      </c>
      <c r="K9" s="69">
        <v>415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1" t="s">
        <v>0</v>
      </c>
      <c r="C15" s="151"/>
      <c r="D15" s="151"/>
      <c r="E15" s="151"/>
      <c r="G15" s="151" t="s">
        <v>24</v>
      </c>
      <c r="H15" s="151"/>
      <c r="I15" s="151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50" t="s">
        <v>19</v>
      </c>
      <c r="C18" s="150"/>
      <c r="D18" s="150"/>
      <c r="E18" s="150"/>
      <c r="F18" s="150"/>
      <c r="G18" s="150"/>
      <c r="H18" s="150"/>
      <c r="I18" s="150"/>
      <c r="J18" s="150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169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637.925</v>
      </c>
      <c r="H20" s="81">
        <v>89.715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827</v>
      </c>
      <c r="D21" s="82">
        <v>0</v>
      </c>
      <c r="E21" s="81">
        <f>+B21+D21+C21</f>
        <v>846.676</v>
      </c>
      <c r="G21" s="81">
        <f>+I21-H21</f>
        <v>701.676</v>
      </c>
      <c r="H21" s="81">
        <v>105</v>
      </c>
      <c r="I21" s="81">
        <f>+E21-J21</f>
        <v>806.676</v>
      </c>
      <c r="J21" s="68">
        <v>40</v>
      </c>
    </row>
    <row r="22" spans="1:10" ht="18.75">
      <c r="A22" s="14" t="s">
        <v>168</v>
      </c>
      <c r="B22" s="69">
        <f>+J21</f>
        <v>40</v>
      </c>
      <c r="C22" s="84">
        <v>1080</v>
      </c>
      <c r="D22" s="80">
        <v>0</v>
      </c>
      <c r="E22" s="84">
        <f>+B22+D22+C22</f>
        <v>1120</v>
      </c>
      <c r="F22" s="29"/>
      <c r="G22" s="84">
        <f>+I22-H22</f>
        <v>990</v>
      </c>
      <c r="H22" s="84">
        <v>90</v>
      </c>
      <c r="I22" s="84">
        <f>+E22-J22</f>
        <v>1080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1" t="s">
        <v>0</v>
      </c>
      <c r="C28" s="151"/>
      <c r="D28" s="151"/>
      <c r="E28" s="151"/>
      <c r="G28" s="151" t="s">
        <v>24</v>
      </c>
      <c r="H28" s="151"/>
      <c r="I28" s="151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0" t="s">
        <v>20</v>
      </c>
      <c r="C31" s="150"/>
      <c r="D31" s="150"/>
      <c r="E31" s="150"/>
      <c r="F31" s="150"/>
      <c r="G31" s="150"/>
      <c r="H31" s="150"/>
      <c r="I31" s="150"/>
      <c r="J31" s="150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169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433.94107062200004</v>
      </c>
      <c r="H33" s="81">
        <v>54.826</v>
      </c>
      <c r="I33" s="81">
        <f>+E33-J33</f>
        <v>488.76707062200006</v>
      </c>
      <c r="J33" s="83">
        <v>40.849</v>
      </c>
    </row>
    <row r="34" spans="1:10" ht="18.75">
      <c r="A34" s="15" t="s">
        <v>159</v>
      </c>
      <c r="B34" s="82">
        <f>+J33</f>
        <v>40.849</v>
      </c>
      <c r="C34" s="81">
        <v>559</v>
      </c>
      <c r="D34" s="82">
        <v>5</v>
      </c>
      <c r="E34" s="74">
        <f>+B34+D34+C34</f>
        <v>604.849</v>
      </c>
      <c r="G34" s="81">
        <f>+I34-H34</f>
        <v>449.84900000000005</v>
      </c>
      <c r="H34" s="81">
        <v>105</v>
      </c>
      <c r="I34" s="81">
        <f>+E34-J34</f>
        <v>554.849</v>
      </c>
      <c r="J34" s="83">
        <v>50</v>
      </c>
    </row>
    <row r="35" spans="1:10" ht="18.75">
      <c r="A35" s="14" t="s">
        <v>168</v>
      </c>
      <c r="B35" s="80">
        <f>+J34</f>
        <v>50</v>
      </c>
      <c r="C35" s="84">
        <v>755</v>
      </c>
      <c r="D35" s="80">
        <v>5</v>
      </c>
      <c r="E35" s="75">
        <f>+B35+D35+C35</f>
        <v>810</v>
      </c>
      <c r="F35" s="29"/>
      <c r="G35" s="84">
        <f>+I35-H35</f>
        <v>670</v>
      </c>
      <c r="H35" s="84">
        <v>90</v>
      </c>
      <c r="I35" s="84">
        <f>+E35-J35</f>
        <v>760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1" t="s">
        <v>27</v>
      </c>
      <c r="C41" s="151"/>
      <c r="D41" s="16" t="s">
        <v>30</v>
      </c>
      <c r="E41" s="151" t="s">
        <v>119</v>
      </c>
      <c r="F41" s="151"/>
      <c r="G41" s="151"/>
      <c r="H41" s="151"/>
      <c r="J41" s="151" t="s">
        <v>24</v>
      </c>
      <c r="K41" s="151"/>
      <c r="L41" s="151"/>
      <c r="M41" s="151"/>
      <c r="N41" s="151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9" t="s">
        <v>121</v>
      </c>
      <c r="C44" s="150"/>
      <c r="D44" s="65" t="s">
        <v>101</v>
      </c>
      <c r="E44" s="150" t="s">
        <v>21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169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168</v>
      </c>
      <c r="B48" s="69">
        <v>1881</v>
      </c>
      <c r="C48" s="69">
        <v>1829</v>
      </c>
      <c r="D48" s="69">
        <f>F48*1000/C48</f>
        <v>4256.971022416621</v>
      </c>
      <c r="E48" s="69">
        <f>O47</f>
        <v>1441.592</v>
      </c>
      <c r="F48" s="69">
        <v>7786</v>
      </c>
      <c r="G48" s="84">
        <v>75</v>
      </c>
      <c r="H48" s="69">
        <f>+E48+G48+F48</f>
        <v>9302.592</v>
      </c>
      <c r="I48" s="69"/>
      <c r="J48" s="69">
        <v>3202</v>
      </c>
      <c r="K48" s="69">
        <v>973</v>
      </c>
      <c r="L48" s="84">
        <f>+N48-J48-K48-M48</f>
        <v>936.5920000000006</v>
      </c>
      <c r="M48" s="84">
        <v>1500</v>
      </c>
      <c r="N48" s="69">
        <f>+H48-O48</f>
        <v>6611.592000000001</v>
      </c>
      <c r="O48" s="69">
        <v>2691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43024.41879780093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160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170</v>
      </c>
      <c r="B16" s="55" t="s">
        <v>188</v>
      </c>
      <c r="C16" s="86" t="s">
        <v>186</v>
      </c>
      <c r="D16" s="55" t="s">
        <v>193</v>
      </c>
      <c r="E16" s="55" t="s">
        <v>187</v>
      </c>
      <c r="F16" s="55" t="s">
        <v>173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30"/>
      <c r="E17" s="55"/>
      <c r="F17" s="55"/>
      <c r="G17" s="39"/>
      <c r="H17" s="3"/>
      <c r="I17" s="3"/>
      <c r="J17" s="3"/>
      <c r="K17" s="3"/>
    </row>
    <row r="18" spans="1:8" ht="15.75">
      <c r="A18" s="40" t="s">
        <v>140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9.05</v>
      </c>
      <c r="C19" s="86">
        <v>203</v>
      </c>
      <c r="D19" s="86">
        <v>25.1</v>
      </c>
      <c r="E19" s="86">
        <v>15.1</v>
      </c>
      <c r="F19" s="86">
        <v>19.6</v>
      </c>
      <c r="G19" s="86">
        <v>9.08</v>
      </c>
      <c r="H19" s="1"/>
    </row>
    <row r="20" spans="1:8" ht="15.75">
      <c r="A20" s="15" t="s">
        <v>74</v>
      </c>
      <c r="B20" s="86">
        <v>8.81</v>
      </c>
      <c r="C20" s="86">
        <v>235</v>
      </c>
      <c r="D20" s="86">
        <v>18.4</v>
      </c>
      <c r="E20" s="86">
        <v>14.8</v>
      </c>
      <c r="F20" s="86">
        <v>18.8</v>
      </c>
      <c r="G20" s="86">
        <v>8.57</v>
      </c>
      <c r="H20" s="1"/>
    </row>
    <row r="21" spans="1:8" ht="15.75">
      <c r="A21" s="15" t="s">
        <v>75</v>
      </c>
      <c r="B21" s="86">
        <v>8.68</v>
      </c>
      <c r="C21" s="86">
        <v>233</v>
      </c>
      <c r="D21" s="86">
        <v>18.3</v>
      </c>
      <c r="E21" s="86">
        <v>15.1</v>
      </c>
      <c r="F21" s="86">
        <v>18.5</v>
      </c>
      <c r="G21" s="86">
        <v>8.71</v>
      </c>
      <c r="H21" s="1"/>
    </row>
    <row r="22" spans="1:8" ht="15.75">
      <c r="A22" s="15" t="s">
        <v>76</v>
      </c>
      <c r="B22" s="86">
        <v>8.76</v>
      </c>
      <c r="C22" s="86">
        <v>217</v>
      </c>
      <c r="D22" s="86">
        <v>19.3</v>
      </c>
      <c r="E22" s="86">
        <v>14.9</v>
      </c>
      <c r="F22" s="86">
        <v>17.8</v>
      </c>
      <c r="G22" s="86">
        <v>8.62</v>
      </c>
      <c r="H22" s="1"/>
    </row>
    <row r="23" spans="1:8" ht="15.75">
      <c r="A23" s="15" t="s">
        <v>77</v>
      </c>
      <c r="B23" s="86">
        <v>8.71</v>
      </c>
      <c r="C23" s="86">
        <v>227</v>
      </c>
      <c r="D23" s="86">
        <v>20.1</v>
      </c>
      <c r="E23" s="86">
        <v>13.8</v>
      </c>
      <c r="F23" s="86">
        <v>19.3</v>
      </c>
      <c r="G23" s="86">
        <v>8.46</v>
      </c>
      <c r="H23" s="1"/>
    </row>
    <row r="24" spans="1:8" ht="15.75">
      <c r="A24" s="15" t="s">
        <v>78</v>
      </c>
      <c r="B24" s="86">
        <v>8.51</v>
      </c>
      <c r="C24" s="86">
        <v>236</v>
      </c>
      <c r="D24" s="86">
        <v>20.4</v>
      </c>
      <c r="E24" s="86">
        <v>15.3</v>
      </c>
      <c r="F24" s="86">
        <v>19.8</v>
      </c>
      <c r="G24" s="86">
        <v>8.1</v>
      </c>
      <c r="H24" s="1"/>
    </row>
    <row r="25" spans="1:8" ht="15.75">
      <c r="A25" s="15" t="s">
        <v>79</v>
      </c>
      <c r="B25" s="86">
        <v>8.56</v>
      </c>
      <c r="C25" s="86" t="s">
        <v>10</v>
      </c>
      <c r="D25" s="86">
        <v>21.1</v>
      </c>
      <c r="E25" s="86">
        <v>15.1</v>
      </c>
      <c r="F25" s="86">
        <v>19.5</v>
      </c>
      <c r="G25" s="86">
        <v>8.37</v>
      </c>
      <c r="H25" s="1"/>
    </row>
    <row r="26" spans="1:8" ht="15.75">
      <c r="A26" s="15" t="s">
        <v>80</v>
      </c>
      <c r="B26" s="86">
        <v>9.01</v>
      </c>
      <c r="C26" s="86" t="s">
        <v>10</v>
      </c>
      <c r="D26" s="86">
        <v>20.9</v>
      </c>
      <c r="E26" s="86">
        <v>16.1</v>
      </c>
      <c r="F26" s="86">
        <v>19.8</v>
      </c>
      <c r="G26" s="86">
        <v>8.1</v>
      </c>
      <c r="H26" s="1"/>
    </row>
    <row r="27" spans="1:8" ht="15.75">
      <c r="A27" s="15" t="s">
        <v>81</v>
      </c>
      <c r="B27" s="86">
        <v>9.76</v>
      </c>
      <c r="C27" s="86" t="s">
        <v>10</v>
      </c>
      <c r="D27" s="86">
        <v>19.5</v>
      </c>
      <c r="E27" s="86" t="s">
        <v>10</v>
      </c>
      <c r="F27" s="86">
        <v>19.6</v>
      </c>
      <c r="G27" s="86">
        <v>7.93</v>
      </c>
      <c r="H27" s="1"/>
    </row>
    <row r="28" spans="1:8" ht="15.75">
      <c r="A28" s="15" t="s">
        <v>82</v>
      </c>
      <c r="B28" s="86">
        <v>10.2</v>
      </c>
      <c r="C28" s="86" t="s">
        <v>10</v>
      </c>
      <c r="D28" s="86">
        <v>20.1</v>
      </c>
      <c r="E28" s="86">
        <v>18.8</v>
      </c>
      <c r="F28" s="86">
        <v>19.5</v>
      </c>
      <c r="G28" s="86">
        <v>8.44</v>
      </c>
      <c r="H28" s="1"/>
    </row>
    <row r="29" spans="1:8" ht="15.75">
      <c r="A29" s="15" t="s">
        <v>84</v>
      </c>
      <c r="B29" s="86">
        <v>10.2</v>
      </c>
      <c r="C29" s="86" t="s">
        <v>10</v>
      </c>
      <c r="D29" s="86">
        <v>19</v>
      </c>
      <c r="E29" s="86">
        <v>16.1</v>
      </c>
      <c r="F29" s="86">
        <v>19</v>
      </c>
      <c r="G29" s="86">
        <v>8.48</v>
      </c>
      <c r="H29" s="1"/>
    </row>
    <row r="30" spans="1:8" ht="15.75">
      <c r="A30" s="15" t="s">
        <v>85</v>
      </c>
      <c r="B30" s="86">
        <v>9.93</v>
      </c>
      <c r="C30" s="86">
        <v>176</v>
      </c>
      <c r="D30" s="86">
        <v>19.6</v>
      </c>
      <c r="E30" s="86">
        <v>15.6</v>
      </c>
      <c r="F30" s="86">
        <v>19</v>
      </c>
      <c r="G30" s="86">
        <v>8.25</v>
      </c>
      <c r="H30" s="1"/>
    </row>
    <row r="31" spans="1:8" ht="15.75">
      <c r="A31" s="17"/>
      <c r="B31" s="86"/>
      <c r="C31" s="86"/>
      <c r="D31" s="86"/>
      <c r="E31" s="86"/>
      <c r="F31" s="86"/>
      <c r="G31" s="86"/>
      <c r="H31" s="1"/>
    </row>
    <row r="32" spans="1:8" ht="15.75">
      <c r="A32" s="40" t="s">
        <v>164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9.41</v>
      </c>
      <c r="C33" s="86">
        <v>180</v>
      </c>
      <c r="D33" s="86">
        <v>17.9</v>
      </c>
      <c r="E33" s="86">
        <v>15.5</v>
      </c>
      <c r="F33" s="86">
        <v>19.1</v>
      </c>
      <c r="G33" s="86">
        <v>7.61</v>
      </c>
      <c r="H33" s="1"/>
    </row>
    <row r="34" spans="1:8" ht="15.75">
      <c r="A34" s="15" t="s">
        <v>74</v>
      </c>
      <c r="B34" s="86">
        <v>9.3</v>
      </c>
      <c r="C34" s="86">
        <v>197</v>
      </c>
      <c r="D34" s="86">
        <v>17</v>
      </c>
      <c r="E34" s="86">
        <v>15.8</v>
      </c>
      <c r="F34" s="86">
        <v>19.5</v>
      </c>
      <c r="G34" s="86">
        <v>7.37</v>
      </c>
      <c r="H34" s="1"/>
    </row>
    <row r="35" spans="1:8" ht="15.75">
      <c r="A35" s="15" t="s">
        <v>75</v>
      </c>
      <c r="B35" s="86">
        <v>9.47</v>
      </c>
      <c r="C35" s="86">
        <v>195</v>
      </c>
      <c r="D35" s="86">
        <v>16.4</v>
      </c>
      <c r="E35" s="86">
        <v>16.2</v>
      </c>
      <c r="F35" s="86">
        <v>19</v>
      </c>
      <c r="G35" s="86">
        <v>7.36</v>
      </c>
      <c r="H35" s="1"/>
    </row>
    <row r="36" spans="1:8" ht="15.75">
      <c r="A36" s="15" t="s">
        <v>76</v>
      </c>
      <c r="B36" s="86">
        <v>9.64</v>
      </c>
      <c r="C36" s="86">
        <v>197</v>
      </c>
      <c r="D36" s="86">
        <v>17.2</v>
      </c>
      <c r="E36" s="86">
        <v>17.1</v>
      </c>
      <c r="F36" s="86">
        <v>18.6</v>
      </c>
      <c r="G36" s="86">
        <v>7.59</v>
      </c>
      <c r="H36" s="1"/>
    </row>
    <row r="37" spans="1:8" ht="15.75">
      <c r="A37" s="15" t="s">
        <v>77</v>
      </c>
      <c r="B37" s="86">
        <v>9.71</v>
      </c>
      <c r="C37" s="86">
        <v>199</v>
      </c>
      <c r="D37" s="86">
        <v>17.2</v>
      </c>
      <c r="E37" s="86">
        <v>17.3</v>
      </c>
      <c r="F37" s="86">
        <v>19.8</v>
      </c>
      <c r="G37" s="86">
        <v>8.26</v>
      </c>
      <c r="H37" s="1"/>
    </row>
    <row r="38" spans="1:8" ht="15.75">
      <c r="A38" s="15" t="s">
        <v>78</v>
      </c>
      <c r="B38" s="86">
        <v>9.86</v>
      </c>
      <c r="C38" s="86">
        <v>203</v>
      </c>
      <c r="D38" s="86">
        <v>17.6</v>
      </c>
      <c r="E38" s="86">
        <v>17.4</v>
      </c>
      <c r="F38" s="86">
        <v>20.1</v>
      </c>
      <c r="G38" s="86">
        <v>7.86</v>
      </c>
      <c r="H38" s="1"/>
    </row>
    <row r="39" spans="1:8" ht="15.75">
      <c r="A39" s="15" t="s">
        <v>79</v>
      </c>
      <c r="B39" s="86">
        <v>9.69</v>
      </c>
      <c r="C39" s="86" t="s">
        <v>10</v>
      </c>
      <c r="D39" s="86">
        <v>17.4</v>
      </c>
      <c r="E39" s="86">
        <v>17.6</v>
      </c>
      <c r="F39" s="86">
        <v>20.6</v>
      </c>
      <c r="G39" s="86">
        <v>8.34</v>
      </c>
      <c r="H39" s="1"/>
    </row>
    <row r="40" spans="1:8" ht="15.75">
      <c r="A40" s="15" t="s">
        <v>80</v>
      </c>
      <c r="B40" s="86">
        <v>9.33</v>
      </c>
      <c r="C40" s="86" t="s">
        <v>10</v>
      </c>
      <c r="D40" s="86">
        <v>17.9</v>
      </c>
      <c r="E40" s="86">
        <v>18</v>
      </c>
      <c r="F40" s="86">
        <v>19.8</v>
      </c>
      <c r="G40" s="86">
        <v>8.03</v>
      </c>
      <c r="H40" s="1"/>
    </row>
    <row r="41" spans="1:8" ht="15.75">
      <c r="A41" s="15" t="s">
        <v>81</v>
      </c>
      <c r="B41" s="86">
        <v>9.29</v>
      </c>
      <c r="C41" s="86" t="s">
        <v>10</v>
      </c>
      <c r="D41" s="86">
        <v>17.3</v>
      </c>
      <c r="E41" s="86">
        <v>16.8</v>
      </c>
      <c r="F41" s="86">
        <v>19.4</v>
      </c>
      <c r="G41" s="86">
        <v>8.96</v>
      </c>
      <c r="H41" s="1"/>
    </row>
    <row r="42" spans="1:8" ht="15.75">
      <c r="A42" s="15" t="s">
        <v>82</v>
      </c>
      <c r="B42" s="86">
        <v>9.1</v>
      </c>
      <c r="C42" s="86" t="s">
        <v>10</v>
      </c>
      <c r="D42" s="86">
        <v>17.6</v>
      </c>
      <c r="E42" s="86">
        <v>17.4</v>
      </c>
      <c r="F42" s="86">
        <v>19.7</v>
      </c>
      <c r="G42" s="86">
        <v>8.53</v>
      </c>
      <c r="H42" s="1"/>
    </row>
    <row r="43" spans="1:8" ht="15.75">
      <c r="A43" s="15" t="s">
        <v>84</v>
      </c>
      <c r="B43" s="86">
        <v>9.42</v>
      </c>
      <c r="C43" s="86" t="s">
        <v>10</v>
      </c>
      <c r="D43" s="86">
        <v>17.9</v>
      </c>
      <c r="E43" s="86">
        <v>17.8</v>
      </c>
      <c r="F43" s="86">
        <v>20.5</v>
      </c>
      <c r="G43" s="86">
        <v>8.4</v>
      </c>
      <c r="H43" s="1"/>
    </row>
    <row r="44" spans="1:8" ht="15.75">
      <c r="A44" s="14" t="s">
        <v>85</v>
      </c>
      <c r="B44" s="87">
        <v>9.24</v>
      </c>
      <c r="C44" s="87">
        <v>127</v>
      </c>
      <c r="D44" s="87">
        <v>19.1</v>
      </c>
      <c r="E44" s="87">
        <v>17.7</v>
      </c>
      <c r="F44" s="87">
        <v>19.8</v>
      </c>
      <c r="G44" s="87">
        <v>9.3</v>
      </c>
      <c r="H44" s="1"/>
    </row>
    <row r="45" spans="1:7" ht="18.75">
      <c r="A45" s="15" t="s">
        <v>132</v>
      </c>
      <c r="B45" s="15"/>
      <c r="C45" s="15"/>
      <c r="D45" s="15"/>
      <c r="E45" s="15"/>
      <c r="F45" s="15"/>
      <c r="G45" s="15"/>
    </row>
    <row r="46" spans="1:7" ht="15.75">
      <c r="A46" s="15" t="s">
        <v>73</v>
      </c>
      <c r="B46" s="33"/>
      <c r="C46" s="33" t="s">
        <v>149</v>
      </c>
      <c r="D46" s="33"/>
      <c r="E46" s="33"/>
      <c r="F46" s="33"/>
      <c r="G46" s="33"/>
    </row>
    <row r="47" spans="1:7" ht="15.75">
      <c r="A47" s="15" t="s">
        <v>92</v>
      </c>
      <c r="B47" s="15"/>
      <c r="C47" s="15"/>
      <c r="D47" s="15"/>
      <c r="E47" s="15"/>
      <c r="F47" s="15"/>
      <c r="G47" s="15"/>
    </row>
    <row r="48" spans="1:7" ht="15.75">
      <c r="A48" s="15" t="s">
        <v>26</v>
      </c>
      <c r="B48" s="25">
        <f ca="1">NOW()</f>
        <v>43024.41879780093</v>
      </c>
      <c r="C48" s="15"/>
      <c r="D48" s="15"/>
      <c r="E48" s="15"/>
      <c r="F48" s="15"/>
      <c r="G4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160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170</v>
      </c>
      <c r="B16" s="55" t="s">
        <v>172</v>
      </c>
      <c r="C16" s="55" t="s">
        <v>179</v>
      </c>
      <c r="D16" s="55" t="s">
        <v>180</v>
      </c>
      <c r="E16" s="55" t="s">
        <v>181</v>
      </c>
      <c r="F16" s="55" t="s">
        <v>182</v>
      </c>
      <c r="G16" s="55" t="s">
        <v>183</v>
      </c>
      <c r="H16" s="55" t="s">
        <v>184</v>
      </c>
      <c r="I16" s="55" t="s">
        <v>185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140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27.14</v>
      </c>
      <c r="C19" s="86">
        <v>44.25</v>
      </c>
      <c r="D19" s="86">
        <v>72</v>
      </c>
      <c r="E19" s="86">
        <v>34.2</v>
      </c>
      <c r="F19" s="86">
        <v>57.7</v>
      </c>
      <c r="G19" s="86">
        <v>36.6</v>
      </c>
      <c r="H19" s="86">
        <v>34.23</v>
      </c>
      <c r="I19" s="86">
        <v>24.61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26.42</v>
      </c>
      <c r="C20" s="86">
        <v>45.19</v>
      </c>
      <c r="D20" s="86">
        <v>64.5</v>
      </c>
      <c r="E20" s="86">
        <v>33.63</v>
      </c>
      <c r="F20" s="86">
        <v>58.06</v>
      </c>
      <c r="G20" s="86">
        <v>36.43</v>
      </c>
      <c r="H20" s="86">
        <v>35.5</v>
      </c>
      <c r="I20" s="86">
        <v>21.1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29.72</v>
      </c>
      <c r="C21" s="86">
        <v>48.35</v>
      </c>
      <c r="D21" s="86">
        <v>62</v>
      </c>
      <c r="E21" s="86">
        <v>36.5</v>
      </c>
      <c r="F21" s="86">
        <v>58.5</v>
      </c>
      <c r="G21" s="86">
        <v>38.25</v>
      </c>
      <c r="H21" s="86">
        <v>28.8</v>
      </c>
      <c r="I21" s="86">
        <v>20.5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28.89</v>
      </c>
      <c r="C22" s="86">
        <v>47.31</v>
      </c>
      <c r="D22" s="86">
        <v>58</v>
      </c>
      <c r="E22" s="86">
        <v>34.06</v>
      </c>
      <c r="F22" s="86">
        <v>56.19</v>
      </c>
      <c r="G22" s="86">
        <v>39.93</v>
      </c>
      <c r="H22" s="86">
        <v>24</v>
      </c>
      <c r="I22" s="86">
        <v>24.1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29.79</v>
      </c>
      <c r="C23" s="86">
        <v>46.06</v>
      </c>
      <c r="D23" s="86">
        <v>54.25</v>
      </c>
      <c r="E23" s="86">
        <v>34.63</v>
      </c>
      <c r="F23" s="86">
        <v>55</v>
      </c>
      <c r="G23" s="86">
        <v>40.29</v>
      </c>
      <c r="H23" s="86" t="s">
        <v>10</v>
      </c>
      <c r="I23" s="86">
        <v>29.41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46.2</v>
      </c>
      <c r="D24" s="86">
        <v>53.8</v>
      </c>
      <c r="E24" s="86">
        <v>35.55</v>
      </c>
      <c r="F24" s="86">
        <v>55.55</v>
      </c>
      <c r="G24" s="86">
        <v>41.05</v>
      </c>
      <c r="H24" s="86">
        <v>29</v>
      </c>
      <c r="I24" s="86">
        <v>35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32.45</v>
      </c>
      <c r="C25" s="86">
        <v>47.35</v>
      </c>
      <c r="D25" s="86">
        <v>53.8</v>
      </c>
      <c r="E25" s="86">
        <v>36.8</v>
      </c>
      <c r="F25" s="86">
        <v>56.2</v>
      </c>
      <c r="G25" s="86">
        <v>42.12</v>
      </c>
      <c r="H25" s="86">
        <v>33</v>
      </c>
      <c r="I25" s="86">
        <v>39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30.76</v>
      </c>
      <c r="C26" s="86">
        <v>46.06</v>
      </c>
      <c r="D26" s="86">
        <v>54</v>
      </c>
      <c r="E26" s="86">
        <v>35.06</v>
      </c>
      <c r="F26" s="86">
        <v>61.38</v>
      </c>
      <c r="G26" s="86">
        <v>40.33</v>
      </c>
      <c r="H26" s="86" t="s">
        <v>10</v>
      </c>
      <c r="I26" s="86">
        <v>34.6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30.35</v>
      </c>
      <c r="C27" s="86">
        <v>45.55</v>
      </c>
      <c r="D27" s="86">
        <v>54.2</v>
      </c>
      <c r="E27" s="86">
        <v>35.1</v>
      </c>
      <c r="F27" s="86">
        <v>61.1</v>
      </c>
      <c r="G27" s="86">
        <v>39.94</v>
      </c>
      <c r="H27" s="86" t="s">
        <v>10</v>
      </c>
      <c r="I27" s="86">
        <v>33.54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28.75</v>
      </c>
      <c r="C28" s="86">
        <v>44.75</v>
      </c>
      <c r="D28" s="86">
        <v>55.2</v>
      </c>
      <c r="E28" s="86">
        <v>33.55</v>
      </c>
      <c r="F28" s="86">
        <v>62.1</v>
      </c>
      <c r="G28" s="86">
        <v>38.86</v>
      </c>
      <c r="H28" s="86" t="s">
        <v>10</v>
      </c>
      <c r="I28" s="86">
        <v>34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31.21</v>
      </c>
      <c r="C29" s="86">
        <v>45.25</v>
      </c>
      <c r="D29" s="86">
        <v>56</v>
      </c>
      <c r="E29" s="86">
        <v>36.94</v>
      </c>
      <c r="F29" s="86">
        <v>61</v>
      </c>
      <c r="G29" s="86">
        <v>39.06</v>
      </c>
      <c r="H29" s="86">
        <v>36.53</v>
      </c>
      <c r="I29" s="86">
        <v>33.25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31.99</v>
      </c>
      <c r="C30" s="86">
        <v>44.15</v>
      </c>
      <c r="D30" s="86">
        <v>56</v>
      </c>
      <c r="E30" s="86">
        <v>37.25</v>
      </c>
      <c r="F30" s="86">
        <v>61.6</v>
      </c>
      <c r="G30" s="86">
        <v>38.11</v>
      </c>
      <c r="H30" s="86">
        <v>36.75</v>
      </c>
      <c r="I30" s="86">
        <v>31.71</v>
      </c>
      <c r="K30" s="7"/>
      <c r="L30" s="7"/>
      <c r="M30" s="7"/>
      <c r="N30" s="7"/>
      <c r="O30" s="7"/>
    </row>
    <row r="31" spans="1:9" ht="15.75">
      <c r="A31" s="51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164</v>
      </c>
      <c r="B32" s="86"/>
      <c r="C32" s="86"/>
      <c r="D32" s="86"/>
      <c r="E32" s="86"/>
      <c r="F32" s="86"/>
      <c r="G32" s="86"/>
      <c r="H32" s="86"/>
      <c r="I32" s="86"/>
    </row>
    <row r="33" spans="1:15" ht="15.75">
      <c r="A33" s="15" t="s">
        <v>74</v>
      </c>
      <c r="B33" s="86">
        <v>33.86</v>
      </c>
      <c r="C33" s="86">
        <v>44.875</v>
      </c>
      <c r="D33" s="86">
        <v>56</v>
      </c>
      <c r="E33" s="86">
        <v>38.94</v>
      </c>
      <c r="F33" s="86">
        <v>64.88</v>
      </c>
      <c r="G33" s="86">
        <v>36.22</v>
      </c>
      <c r="H33" s="86">
        <v>34</v>
      </c>
      <c r="I33" s="86">
        <v>32.25</v>
      </c>
      <c r="K33" s="7"/>
      <c r="L33" s="7"/>
      <c r="M33" s="7"/>
      <c r="N33" s="7"/>
      <c r="O33" s="7"/>
    </row>
    <row r="34" spans="1:15" ht="15.75">
      <c r="A34" s="15" t="s">
        <v>75</v>
      </c>
      <c r="B34" s="86">
        <v>34.52</v>
      </c>
      <c r="C34" s="86">
        <v>45.8125</v>
      </c>
      <c r="D34" s="86">
        <v>56</v>
      </c>
      <c r="E34" s="86">
        <v>39.25</v>
      </c>
      <c r="F34" s="86">
        <v>66</v>
      </c>
      <c r="G34" s="86">
        <v>36.83</v>
      </c>
      <c r="H34" s="86" t="s">
        <v>10</v>
      </c>
      <c r="I34" s="86">
        <v>34.69</v>
      </c>
      <c r="K34" s="7"/>
      <c r="L34" s="7"/>
      <c r="M34" s="7"/>
      <c r="N34" s="7"/>
      <c r="O34" s="7"/>
    </row>
    <row r="35" spans="1:15" ht="15.75">
      <c r="A35" s="15" t="s">
        <v>76</v>
      </c>
      <c r="B35" s="86">
        <v>35.57</v>
      </c>
      <c r="C35" s="86">
        <v>46.4</v>
      </c>
      <c r="D35" s="86">
        <v>56</v>
      </c>
      <c r="E35" s="86">
        <v>40.2</v>
      </c>
      <c r="F35" s="86">
        <v>63.1</v>
      </c>
      <c r="G35" s="86">
        <v>38.12</v>
      </c>
      <c r="H35" s="86">
        <v>31</v>
      </c>
      <c r="I35" s="86">
        <v>34</v>
      </c>
      <c r="K35" s="7"/>
      <c r="L35" s="7"/>
      <c r="M35" s="7"/>
      <c r="N35" s="7"/>
      <c r="O35" s="7"/>
    </row>
    <row r="36" spans="1:15" ht="15.75">
      <c r="A36" s="15" t="s">
        <v>77</v>
      </c>
      <c r="B36" s="86">
        <v>33.58</v>
      </c>
      <c r="C36" s="86">
        <v>44.5625</v>
      </c>
      <c r="D36" s="86">
        <v>56</v>
      </c>
      <c r="E36" s="86">
        <v>38.69</v>
      </c>
      <c r="F36" s="86">
        <v>62.88</v>
      </c>
      <c r="G36" s="86">
        <v>37.89</v>
      </c>
      <c r="H36" s="86">
        <v>30.1</v>
      </c>
      <c r="I36" s="86">
        <v>34</v>
      </c>
      <c r="K36" s="7"/>
      <c r="L36" s="7"/>
      <c r="M36" s="7"/>
      <c r="N36" s="7"/>
      <c r="O36" s="7"/>
    </row>
    <row r="37" spans="1:15" ht="15.75">
      <c r="A37" s="15" t="s">
        <v>78</v>
      </c>
      <c r="B37" s="86">
        <v>32</v>
      </c>
      <c r="C37" s="86">
        <v>41.5</v>
      </c>
      <c r="D37" s="86">
        <v>55</v>
      </c>
      <c r="E37" s="86">
        <v>37.25</v>
      </c>
      <c r="F37" s="86">
        <v>63.13</v>
      </c>
      <c r="G37" s="86">
        <v>38.11</v>
      </c>
      <c r="H37" s="86" t="s">
        <v>10</v>
      </c>
      <c r="I37" s="86">
        <v>34.5</v>
      </c>
      <c r="K37" s="7"/>
      <c r="L37" s="7"/>
      <c r="M37" s="7"/>
      <c r="N37" s="7"/>
      <c r="O37" s="7"/>
    </row>
    <row r="38" spans="1:15" ht="15.75">
      <c r="A38" s="15" t="s">
        <v>79</v>
      </c>
      <c r="B38" s="86">
        <v>30.86</v>
      </c>
      <c r="C38" s="86">
        <v>39.45</v>
      </c>
      <c r="D38" s="86">
        <v>52</v>
      </c>
      <c r="E38" s="86">
        <v>37.3</v>
      </c>
      <c r="F38" s="86">
        <v>65.8</v>
      </c>
      <c r="G38" s="86">
        <v>37.9</v>
      </c>
      <c r="H38" s="86" t="s">
        <v>10</v>
      </c>
      <c r="I38" s="86">
        <v>33.8</v>
      </c>
      <c r="K38" s="7"/>
      <c r="L38" s="7"/>
      <c r="M38" s="7"/>
      <c r="N38" s="7"/>
      <c r="O38" s="7"/>
    </row>
    <row r="39" spans="1:15" ht="15.75">
      <c r="A39" s="15" t="s">
        <v>80</v>
      </c>
      <c r="B39" s="86">
        <v>29.57</v>
      </c>
      <c r="C39" s="86">
        <v>37.5625</v>
      </c>
      <c r="D39" s="86">
        <v>51</v>
      </c>
      <c r="E39" s="86">
        <v>36.13</v>
      </c>
      <c r="F39" s="86">
        <v>69.69</v>
      </c>
      <c r="G39" s="86">
        <v>37.63</v>
      </c>
      <c r="H39" s="86" t="s">
        <v>10</v>
      </c>
      <c r="I39" s="86">
        <v>33.5</v>
      </c>
      <c r="K39" s="7"/>
      <c r="L39" s="7"/>
      <c r="M39" s="7"/>
      <c r="N39" s="7"/>
      <c r="O39" s="7"/>
    </row>
    <row r="40" spans="1:15" ht="15.75">
      <c r="A40" s="15" t="s">
        <v>81</v>
      </c>
      <c r="B40" s="86">
        <v>30.6</v>
      </c>
      <c r="C40" s="86">
        <v>38.625</v>
      </c>
      <c r="D40" s="86">
        <v>50.5</v>
      </c>
      <c r="E40" s="86">
        <v>37.06</v>
      </c>
      <c r="F40" s="86">
        <v>70.75</v>
      </c>
      <c r="G40" s="86">
        <v>37.71</v>
      </c>
      <c r="H40" s="86" t="s">
        <v>10</v>
      </c>
      <c r="I40" s="86">
        <v>35.91</v>
      </c>
      <c r="K40" s="7"/>
      <c r="L40" s="7"/>
      <c r="M40" s="7"/>
      <c r="N40" s="7"/>
      <c r="O40" s="7"/>
    </row>
    <row r="41" spans="1:15" ht="15.75">
      <c r="A41" s="15" t="s">
        <v>82</v>
      </c>
      <c r="B41" s="86">
        <v>30.74</v>
      </c>
      <c r="C41" s="86">
        <v>38.6</v>
      </c>
      <c r="D41" s="86">
        <v>50.8</v>
      </c>
      <c r="E41" s="86">
        <v>37.85</v>
      </c>
      <c r="F41" s="86">
        <v>76.2</v>
      </c>
      <c r="G41" s="86">
        <v>38</v>
      </c>
      <c r="H41" s="86">
        <v>34.5</v>
      </c>
      <c r="I41" s="86">
        <v>36.6</v>
      </c>
      <c r="K41" s="7"/>
      <c r="L41" s="7"/>
      <c r="M41" s="7"/>
      <c r="N41" s="7"/>
      <c r="O41" s="7"/>
    </row>
    <row r="42" spans="1:15" ht="15.75">
      <c r="A42" s="15" t="s">
        <v>84</v>
      </c>
      <c r="B42" s="86">
        <v>32.82</v>
      </c>
      <c r="C42" s="86">
        <v>38.875</v>
      </c>
      <c r="D42" s="86">
        <v>51.25</v>
      </c>
      <c r="E42" s="86">
        <v>39.75</v>
      </c>
      <c r="F42" s="86">
        <v>75.75</v>
      </c>
      <c r="G42" s="86">
        <v>37.53</v>
      </c>
      <c r="H42" s="86" t="s">
        <v>10</v>
      </c>
      <c r="I42" s="86">
        <v>36.89</v>
      </c>
      <c r="K42" s="7"/>
      <c r="L42" s="7"/>
      <c r="M42" s="7"/>
      <c r="N42" s="7"/>
      <c r="O42" s="7"/>
    </row>
    <row r="43" spans="1:15" ht="15.75">
      <c r="A43" s="15" t="s">
        <v>85</v>
      </c>
      <c r="B43" s="86">
        <v>33.17</v>
      </c>
      <c r="C43" s="86">
        <v>36.375</v>
      </c>
      <c r="D43" s="86">
        <v>52.75</v>
      </c>
      <c r="E43" s="86">
        <v>41.19</v>
      </c>
      <c r="F43" s="86">
        <v>69.63</v>
      </c>
      <c r="G43" s="86">
        <v>36.75</v>
      </c>
      <c r="H43" s="86" t="s">
        <v>10</v>
      </c>
      <c r="I43" s="86">
        <v>35.78</v>
      </c>
      <c r="K43" s="7"/>
      <c r="L43" s="7"/>
      <c r="M43" s="7"/>
      <c r="N43" s="7"/>
      <c r="O43" s="7"/>
    </row>
    <row r="44" spans="1:9" ht="15.75">
      <c r="A44" s="14" t="s">
        <v>87</v>
      </c>
      <c r="B44" s="87">
        <v>33.28</v>
      </c>
      <c r="C44" s="87">
        <v>38.45</v>
      </c>
      <c r="D44" s="87">
        <v>55.2</v>
      </c>
      <c r="E44" s="87">
        <v>41.15</v>
      </c>
      <c r="F44" s="87">
        <v>66.6</v>
      </c>
      <c r="G44" s="87">
        <v>36.48</v>
      </c>
      <c r="H44" s="87">
        <v>35.75</v>
      </c>
      <c r="I44" s="87">
        <v>35.08</v>
      </c>
    </row>
    <row r="45" spans="1:9" ht="18.75">
      <c r="A45" s="43" t="s">
        <v>138</v>
      </c>
      <c r="B45" s="9"/>
      <c r="C45" s="9"/>
      <c r="D45" s="9"/>
      <c r="E45" s="9"/>
      <c r="F45" s="9"/>
      <c r="G45" s="9"/>
      <c r="H45" s="9"/>
      <c r="I45" s="9"/>
    </row>
    <row r="46" spans="1:9" ht="18.75">
      <c r="A46" s="15" t="s">
        <v>139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15" t="s">
        <v>93</v>
      </c>
      <c r="B47" s="15"/>
      <c r="C47" s="15"/>
      <c r="D47" s="15"/>
      <c r="E47" s="15"/>
      <c r="F47" s="36"/>
      <c r="G47" s="15"/>
      <c r="H47" s="15"/>
      <c r="I47" s="15"/>
    </row>
    <row r="48" spans="1:9" ht="15.75">
      <c r="A48" s="15" t="s">
        <v>26</v>
      </c>
      <c r="B48" s="97">
        <f ca="1">NOW()</f>
        <v>43024.41879780093</v>
      </c>
      <c r="D48" s="15"/>
      <c r="E48" s="15"/>
      <c r="F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G57" s="15"/>
      <c r="H57" s="15"/>
      <c r="I57" s="15"/>
    </row>
    <row r="58" spans="3:9" ht="15.75">
      <c r="C58" s="15"/>
      <c r="G58" s="15"/>
      <c r="H58" s="15"/>
      <c r="I58" s="15"/>
    </row>
    <row r="59" spans="3:9" ht="15.75">
      <c r="C59" s="15"/>
      <c r="G59" s="15"/>
      <c r="H59" s="15"/>
      <c r="I59" s="15"/>
    </row>
    <row r="60" spans="3:9" ht="15.75">
      <c r="C60" s="15"/>
      <c r="G60" s="15"/>
      <c r="H60" s="15"/>
      <c r="I60" s="15"/>
    </row>
    <row r="61" spans="3:9" ht="15.75">
      <c r="C61" s="15"/>
      <c r="G61" s="15"/>
      <c r="H61" s="15"/>
      <c r="I61" s="15"/>
    </row>
    <row r="62" spans="3:9" ht="15.75">
      <c r="C62" s="15"/>
      <c r="G62" s="15"/>
      <c r="H62" s="15"/>
      <c r="I62" s="15"/>
    </row>
    <row r="63" spans="3:9" ht="15.75">
      <c r="C63" s="15"/>
      <c r="G63" s="15"/>
      <c r="H63" s="15"/>
      <c r="I63" s="15"/>
    </row>
    <row r="64" spans="3:9" ht="15.75">
      <c r="C64" s="15"/>
      <c r="G64" s="15"/>
      <c r="H64" s="15"/>
      <c r="I64" s="15"/>
    </row>
    <row r="65" spans="3:9" ht="15.75">
      <c r="C65" s="15"/>
      <c r="G65" s="15"/>
      <c r="H65" s="15"/>
      <c r="I65" s="15"/>
    </row>
    <row r="66" spans="3:9" ht="15.75">
      <c r="C66" s="15"/>
      <c r="H66" s="15"/>
      <c r="I66" s="15"/>
    </row>
    <row r="67" spans="3:9" ht="15.75">
      <c r="C67" s="15"/>
      <c r="H67" s="15"/>
      <c r="I67" s="15"/>
    </row>
    <row r="68" spans="3:9" ht="15.75">
      <c r="C68" s="15"/>
      <c r="F68" s="54"/>
      <c r="H68" s="15"/>
      <c r="I68" s="15"/>
    </row>
    <row r="69" spans="6:9" ht="15.75">
      <c r="F69" s="54"/>
      <c r="H69" s="15"/>
      <c r="I6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160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170</v>
      </c>
      <c r="B16" s="86" t="s">
        <v>174</v>
      </c>
      <c r="C16" s="86" t="s">
        <v>175</v>
      </c>
      <c r="D16" s="86" t="s">
        <v>176</v>
      </c>
      <c r="E16" s="63" t="s">
        <v>10</v>
      </c>
      <c r="F16" s="86" t="s">
        <v>178</v>
      </c>
      <c r="G16" s="86" t="s">
        <v>177</v>
      </c>
    </row>
    <row r="17" spans="1:8" ht="15.75">
      <c r="A17" s="15"/>
      <c r="B17" s="22"/>
      <c r="C17" s="22"/>
      <c r="D17" s="22"/>
      <c r="E17" s="22"/>
      <c r="F17" s="22"/>
      <c r="G17" s="22"/>
      <c r="H17" s="13"/>
    </row>
    <row r="18" spans="1:13" ht="15.75">
      <c r="A18" s="15" t="s">
        <v>140</v>
      </c>
      <c r="B18" s="86"/>
      <c r="C18" s="86"/>
      <c r="D18" s="86"/>
      <c r="E18" s="63"/>
      <c r="F18" s="86"/>
      <c r="G18" s="86"/>
      <c r="H18" s="13"/>
      <c r="I18" s="7"/>
      <c r="J18" s="7"/>
      <c r="K18" s="7"/>
      <c r="L18" s="7"/>
      <c r="M18" s="7"/>
    </row>
    <row r="19" spans="1:13" ht="15.75">
      <c r="A19" s="15" t="s">
        <v>74</v>
      </c>
      <c r="B19" s="86">
        <v>327.97</v>
      </c>
      <c r="C19" s="86">
        <v>292.5</v>
      </c>
      <c r="D19" s="86">
        <v>212.5</v>
      </c>
      <c r="E19" s="63" t="s">
        <v>10</v>
      </c>
      <c r="F19" s="86">
        <v>257.69</v>
      </c>
      <c r="G19" s="86">
        <v>215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308.6</v>
      </c>
      <c r="C20" s="86">
        <v>291.88</v>
      </c>
      <c r="D20" s="86">
        <v>187.5</v>
      </c>
      <c r="E20" s="63" t="s">
        <v>10</v>
      </c>
      <c r="F20" s="86">
        <v>248.98</v>
      </c>
      <c r="G20" s="86">
        <v>209.38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289.78</v>
      </c>
      <c r="C21" s="86">
        <v>267.5</v>
      </c>
      <c r="D21" s="86">
        <v>163.13</v>
      </c>
      <c r="E21" s="63" t="s">
        <v>10</v>
      </c>
      <c r="F21" s="86">
        <v>240.64</v>
      </c>
      <c r="G21" s="86">
        <v>200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279.56</v>
      </c>
      <c r="C22" s="86">
        <v>248.75</v>
      </c>
      <c r="D22" s="86">
        <v>156.88</v>
      </c>
      <c r="E22" s="63" t="s">
        <v>10</v>
      </c>
      <c r="F22" s="86">
        <v>231.76</v>
      </c>
      <c r="G22" s="86">
        <v>195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273.61</v>
      </c>
      <c r="C23" s="86">
        <v>238.13</v>
      </c>
      <c r="D23" s="86">
        <v>131.88</v>
      </c>
      <c r="E23" s="63" t="s">
        <v>10</v>
      </c>
      <c r="F23" s="86">
        <v>224.34</v>
      </c>
      <c r="G23" s="86">
        <v>197.5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276.22</v>
      </c>
      <c r="C24" s="86">
        <v>216.5</v>
      </c>
      <c r="D24" s="86">
        <v>120</v>
      </c>
      <c r="E24" s="63" t="s">
        <v>10</v>
      </c>
      <c r="F24" s="86">
        <v>228.87</v>
      </c>
      <c r="G24" s="86">
        <v>195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303.81</v>
      </c>
      <c r="C25" s="86">
        <v>207.5</v>
      </c>
      <c r="D25" s="86">
        <v>109.38</v>
      </c>
      <c r="E25" s="63" t="s">
        <v>10</v>
      </c>
      <c r="F25" s="86">
        <v>247.53</v>
      </c>
      <c r="G25" s="86">
        <v>218.13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376.35</v>
      </c>
      <c r="C26" s="86">
        <v>242.5</v>
      </c>
      <c r="D26" s="86">
        <v>149.5</v>
      </c>
      <c r="E26" s="63" t="s">
        <v>10</v>
      </c>
      <c r="F26" s="86">
        <v>329.01</v>
      </c>
      <c r="G26" s="86">
        <v>301.5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408.57</v>
      </c>
      <c r="C27" s="86">
        <v>284</v>
      </c>
      <c r="D27" s="86">
        <v>165.63</v>
      </c>
      <c r="E27" s="63" t="s">
        <v>10</v>
      </c>
      <c r="F27" s="86">
        <v>345.14</v>
      </c>
      <c r="G27" s="86">
        <v>375.63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371.49</v>
      </c>
      <c r="C28" s="86">
        <v>280</v>
      </c>
      <c r="D28" s="86">
        <v>151.88</v>
      </c>
      <c r="E28" s="63" t="s">
        <v>10</v>
      </c>
      <c r="F28" s="86">
        <v>306.03</v>
      </c>
      <c r="G28" s="86">
        <v>364.38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340.8</v>
      </c>
      <c r="C29" s="86">
        <v>280</v>
      </c>
      <c r="D29" s="86">
        <v>141</v>
      </c>
      <c r="E29" s="63" t="s">
        <v>10</v>
      </c>
      <c r="F29" s="86">
        <v>255.35</v>
      </c>
      <c r="G29" s="86">
        <v>335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337.95</v>
      </c>
      <c r="C30" s="86">
        <v>285</v>
      </c>
      <c r="D30" s="86">
        <v>148.75</v>
      </c>
      <c r="E30" s="63" t="s">
        <v>10</v>
      </c>
      <c r="F30" s="86">
        <v>231</v>
      </c>
      <c r="G30" s="86">
        <v>316.25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164</v>
      </c>
      <c r="B32" s="86"/>
      <c r="C32" s="86"/>
      <c r="D32" s="86"/>
      <c r="E32" s="63"/>
      <c r="F32" s="86"/>
      <c r="G32" s="86"/>
      <c r="H32" s="13"/>
    </row>
    <row r="33" spans="1:13" ht="15.75">
      <c r="A33" s="15" t="s">
        <v>74</v>
      </c>
      <c r="B33" s="86">
        <v>323.27</v>
      </c>
      <c r="C33" s="86">
        <v>241.88</v>
      </c>
      <c r="D33" s="86">
        <v>148.75</v>
      </c>
      <c r="E33" s="63" t="s">
        <v>10</v>
      </c>
      <c r="F33" s="86">
        <v>225.05</v>
      </c>
      <c r="G33" s="86">
        <v>305.63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6">
        <v>322.41</v>
      </c>
      <c r="C34" s="86">
        <v>221</v>
      </c>
      <c r="D34" s="86">
        <v>140.5</v>
      </c>
      <c r="E34" s="63" t="s">
        <v>10</v>
      </c>
      <c r="F34" s="86">
        <v>234.78</v>
      </c>
      <c r="G34" s="86">
        <v>296</v>
      </c>
      <c r="H34" s="13"/>
      <c r="I34" s="7"/>
      <c r="J34" s="7"/>
      <c r="K34" s="7"/>
      <c r="L34" s="7"/>
      <c r="M34" s="7"/>
    </row>
    <row r="35" spans="1:13" ht="15.75">
      <c r="A35" s="15" t="s">
        <v>76</v>
      </c>
      <c r="B35" s="86">
        <v>321.02</v>
      </c>
      <c r="C35" s="86">
        <v>217.5</v>
      </c>
      <c r="D35" s="86">
        <v>145</v>
      </c>
      <c r="E35" s="63" t="s">
        <v>10</v>
      </c>
      <c r="F35" s="86">
        <v>243.3</v>
      </c>
      <c r="G35" s="86">
        <v>290</v>
      </c>
      <c r="H35" s="13"/>
      <c r="I35" s="7"/>
      <c r="J35" s="7"/>
      <c r="K35" s="7"/>
      <c r="L35" s="7"/>
      <c r="M35" s="7"/>
    </row>
    <row r="36" spans="1:13" ht="15.75">
      <c r="A36" s="15" t="s">
        <v>77</v>
      </c>
      <c r="B36" s="86">
        <v>332.34</v>
      </c>
      <c r="C36" s="86">
        <v>223.5</v>
      </c>
      <c r="D36" s="86">
        <v>159</v>
      </c>
      <c r="E36" s="63" t="s">
        <v>10</v>
      </c>
      <c r="F36" s="86">
        <v>267.41</v>
      </c>
      <c r="G36" s="86">
        <v>297</v>
      </c>
      <c r="H36" s="13"/>
      <c r="I36" s="7"/>
      <c r="J36" s="7"/>
      <c r="K36" s="7"/>
      <c r="L36" s="7"/>
      <c r="M36" s="7"/>
    </row>
    <row r="37" spans="1:13" ht="15.75">
      <c r="A37" s="15" t="s">
        <v>78</v>
      </c>
      <c r="B37" s="86">
        <v>334.42</v>
      </c>
      <c r="C37" s="86">
        <v>221.88</v>
      </c>
      <c r="D37" s="86">
        <v>161.88</v>
      </c>
      <c r="E37" s="63" t="s">
        <v>10</v>
      </c>
      <c r="F37" s="86">
        <v>276.9</v>
      </c>
      <c r="G37" s="86">
        <v>299.38</v>
      </c>
      <c r="H37" s="13"/>
      <c r="I37" s="7"/>
      <c r="J37" s="7"/>
      <c r="K37" s="7"/>
      <c r="L37" s="7"/>
      <c r="M37" s="7"/>
    </row>
    <row r="38" spans="1:13" ht="15.75">
      <c r="A38" s="15" t="s">
        <v>79</v>
      </c>
      <c r="B38" s="86">
        <v>320.34</v>
      </c>
      <c r="C38" s="86">
        <v>210.63</v>
      </c>
      <c r="D38" s="86">
        <v>155</v>
      </c>
      <c r="E38" s="63" t="s">
        <v>10</v>
      </c>
      <c r="F38" s="86">
        <v>276.33</v>
      </c>
      <c r="G38" s="86">
        <v>297.5</v>
      </c>
      <c r="H38" s="13"/>
      <c r="I38" s="7"/>
      <c r="J38" s="7"/>
      <c r="K38" s="7"/>
      <c r="L38" s="7"/>
      <c r="M38" s="7"/>
    </row>
    <row r="39" spans="1:13" ht="15.75">
      <c r="A39" s="15" t="s">
        <v>80</v>
      </c>
      <c r="B39" s="86">
        <v>305.67</v>
      </c>
      <c r="C39" s="86">
        <v>195</v>
      </c>
      <c r="D39" s="86">
        <v>147.5</v>
      </c>
      <c r="E39" s="63" t="s">
        <v>10</v>
      </c>
      <c r="F39" s="86">
        <v>270.66</v>
      </c>
      <c r="G39" s="86">
        <v>291.25</v>
      </c>
      <c r="H39" s="13"/>
      <c r="I39" s="7"/>
      <c r="J39" s="7"/>
      <c r="K39" s="7"/>
      <c r="L39" s="7"/>
      <c r="M39" s="7"/>
    </row>
    <row r="40" spans="1:13" ht="15.75">
      <c r="A40" s="15" t="s">
        <v>81</v>
      </c>
      <c r="B40" s="86">
        <v>307.63</v>
      </c>
      <c r="C40" s="86">
        <v>179.5</v>
      </c>
      <c r="D40" s="86">
        <v>144</v>
      </c>
      <c r="E40" s="63" t="s">
        <v>10</v>
      </c>
      <c r="F40" s="86">
        <v>279.64</v>
      </c>
      <c r="G40" s="86">
        <v>290</v>
      </c>
      <c r="H40" s="13"/>
      <c r="I40" s="7"/>
      <c r="J40" s="7"/>
      <c r="K40" s="7"/>
      <c r="L40" s="7"/>
      <c r="M40" s="7"/>
    </row>
    <row r="41" spans="1:13" ht="15.75">
      <c r="A41" s="15" t="s">
        <v>82</v>
      </c>
      <c r="B41" s="86">
        <v>300.72</v>
      </c>
      <c r="C41" s="86">
        <v>179.38</v>
      </c>
      <c r="D41" s="86">
        <v>140</v>
      </c>
      <c r="E41" s="63" t="s">
        <v>10</v>
      </c>
      <c r="F41" s="86">
        <v>281.66</v>
      </c>
      <c r="G41" s="86">
        <v>282.63</v>
      </c>
      <c r="H41" s="13"/>
      <c r="I41" s="7"/>
      <c r="J41" s="7"/>
      <c r="K41" s="7"/>
      <c r="L41" s="7"/>
      <c r="M41" s="7"/>
    </row>
    <row r="42" spans="1:13" ht="15.75">
      <c r="A42" s="15" t="s">
        <v>84</v>
      </c>
      <c r="B42" s="86">
        <v>326.04</v>
      </c>
      <c r="C42" s="86">
        <v>200.83</v>
      </c>
      <c r="D42" s="86">
        <v>130.63</v>
      </c>
      <c r="E42" s="63" t="s">
        <v>10</v>
      </c>
      <c r="F42" s="86">
        <v>307.73</v>
      </c>
      <c r="G42" s="86">
        <v>250.63</v>
      </c>
      <c r="H42" s="13"/>
      <c r="I42" s="7"/>
      <c r="J42" s="7"/>
      <c r="K42" s="7"/>
      <c r="L42" s="7"/>
      <c r="M42" s="7"/>
    </row>
    <row r="43" spans="1:13" ht="15.75">
      <c r="A43" s="15" t="s">
        <v>85</v>
      </c>
      <c r="B43" s="86">
        <v>301.05</v>
      </c>
      <c r="C43" s="86">
        <v>198.5</v>
      </c>
      <c r="D43" s="86">
        <v>134.5</v>
      </c>
      <c r="E43" s="63" t="s">
        <v>10</v>
      </c>
      <c r="F43" s="86">
        <v>289.45</v>
      </c>
      <c r="G43" s="86">
        <v>253</v>
      </c>
      <c r="H43" s="13"/>
      <c r="I43" s="7"/>
      <c r="J43" s="7"/>
      <c r="K43" s="7"/>
      <c r="L43" s="7"/>
      <c r="M43" s="7"/>
    </row>
    <row r="44" spans="1:8" ht="15.75">
      <c r="A44" s="44" t="s">
        <v>87</v>
      </c>
      <c r="B44" s="87">
        <v>307.7</v>
      </c>
      <c r="C44" s="87">
        <v>213.75</v>
      </c>
      <c r="D44" s="87">
        <v>134.38</v>
      </c>
      <c r="E44" s="62" t="s">
        <v>10</v>
      </c>
      <c r="F44" s="87">
        <v>262.33</v>
      </c>
      <c r="G44" s="87">
        <v>236.88</v>
      </c>
      <c r="H44" s="13"/>
    </row>
    <row r="45" spans="1:13" ht="18.75">
      <c r="A45" s="43" t="s">
        <v>116</v>
      </c>
      <c r="B45" s="37"/>
      <c r="C45" s="37"/>
      <c r="D45" s="37"/>
      <c r="E45" s="37"/>
      <c r="F45" s="37"/>
      <c r="G45" s="37"/>
      <c r="I45" s="6"/>
      <c r="J45" s="6"/>
      <c r="K45" s="6"/>
      <c r="L45" s="6"/>
      <c r="M45" s="6"/>
    </row>
    <row r="46" spans="1:13" ht="18.75">
      <c r="A46" s="43" t="s">
        <v>117</v>
      </c>
      <c r="B46" s="38"/>
      <c r="C46" s="38"/>
      <c r="D46" s="38"/>
      <c r="E46" s="38"/>
      <c r="F46" s="38"/>
      <c r="G46" s="38"/>
      <c r="I46" s="11"/>
      <c r="J46" s="6"/>
      <c r="K46" s="6"/>
      <c r="L46" s="6"/>
      <c r="M46" s="6"/>
    </row>
    <row r="47" spans="1:13" ht="15.75">
      <c r="A47" s="15" t="s">
        <v>115</v>
      </c>
      <c r="B47" s="38"/>
      <c r="C47" s="38"/>
      <c r="D47" s="38"/>
      <c r="E47" s="38"/>
      <c r="F47" s="38"/>
      <c r="G47" s="38"/>
      <c r="I47" s="11"/>
      <c r="J47" s="6"/>
      <c r="K47" s="6"/>
      <c r="L47" s="6"/>
      <c r="M47" s="6"/>
    </row>
    <row r="48" spans="1:13" ht="15.75">
      <c r="A48" s="15" t="s">
        <v>100</v>
      </c>
      <c r="B48" s="15"/>
      <c r="C48" s="15"/>
      <c r="D48" s="15"/>
      <c r="E48" s="15"/>
      <c r="F48" s="15"/>
      <c r="G48" s="15"/>
      <c r="H48" s="1"/>
      <c r="I48" s="11"/>
      <c r="J48" s="6"/>
      <c r="K48" s="6"/>
      <c r="L48" s="6"/>
      <c r="M48" s="6"/>
    </row>
    <row r="49" spans="1:13" ht="15.75">
      <c r="A49" s="15" t="s">
        <v>26</v>
      </c>
      <c r="B49" s="25">
        <f ca="1">NOW()</f>
        <v>43024.41879780093</v>
      </c>
      <c r="C49" s="15"/>
      <c r="D49" s="15"/>
      <c r="E49" s="15"/>
      <c r="F49" s="15"/>
      <c r="G49" s="15"/>
      <c r="I49" s="11"/>
      <c r="J49" s="6"/>
      <c r="K49" s="6"/>
      <c r="L49" s="6"/>
      <c r="M49" s="6"/>
    </row>
    <row r="50" spans="6:13" ht="15.75">
      <c r="F50" s="15"/>
      <c r="I50" s="12"/>
      <c r="J50" s="8"/>
      <c r="K50" s="8"/>
      <c r="L50" s="8"/>
      <c r="M50" s="8"/>
    </row>
    <row r="51" spans="6:13" ht="15.75">
      <c r="F51" s="15"/>
      <c r="I51" s="12"/>
      <c r="J51" s="8"/>
      <c r="K51" s="8"/>
      <c r="L51" s="8"/>
      <c r="M51" s="8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7" spans="9:13" ht="12.75">
      <c r="I57" s="11"/>
      <c r="J57" s="11"/>
      <c r="K57" s="6"/>
      <c r="L57" s="6"/>
      <c r="M57" s="6"/>
    </row>
    <row r="59" spans="9:13" ht="12.75">
      <c r="I59" s="9"/>
      <c r="J59" s="9"/>
      <c r="K59" s="9"/>
      <c r="L59" s="9"/>
      <c r="M59" s="9"/>
    </row>
    <row r="60" spans="9:13" ht="12.75">
      <c r="I60" s="9"/>
      <c r="J60" s="9"/>
      <c r="K60" s="9"/>
      <c r="L60" s="9"/>
      <c r="M60" s="9"/>
    </row>
    <row r="61" ht="12.75">
      <c r="J6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34">
      <selection activeCell="A6" sqref="A6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189</v>
      </c>
      <c r="B1" s="98" t="s">
        <v>189</v>
      </c>
      <c r="C1" s="10" t="s">
        <v>197</v>
      </c>
      <c r="D1" s="10" t="s">
        <v>198</v>
      </c>
      <c r="E1" s="10" t="s">
        <v>199</v>
      </c>
      <c r="F1" s="10" t="s">
        <v>200</v>
      </c>
    </row>
    <row r="2" ht="15.75">
      <c r="B2" s="15" t="s">
        <v>153</v>
      </c>
    </row>
    <row r="3" spans="1:6" ht="12.75">
      <c r="A3" s="148" t="s">
        <v>140</v>
      </c>
      <c r="B3" s="127">
        <v>24091.60215418454</v>
      </c>
      <c r="C3" s="127">
        <v>336.45874348550797</v>
      </c>
      <c r="D3" s="127">
        <v>594.754</v>
      </c>
      <c r="E3" s="127">
        <v>529.6169480615561</v>
      </c>
      <c r="F3" s="127">
        <v>5816.696552179752</v>
      </c>
    </row>
    <row r="4" spans="1:6" ht="12.75">
      <c r="A4" s="148" t="s">
        <v>164</v>
      </c>
      <c r="B4" s="127">
        <v>24031.813000000002</v>
      </c>
      <c r="C4" s="127">
        <v>344.13545156875404</v>
      </c>
      <c r="D4" s="127">
        <v>694.756</v>
      </c>
      <c r="E4" s="127">
        <v>598.547</v>
      </c>
      <c r="F4" s="127">
        <v>6469.629</v>
      </c>
    </row>
    <row r="5" spans="1:6" ht="12.75">
      <c r="A5" s="148" t="s">
        <v>171</v>
      </c>
      <c r="B5" s="127">
        <v>24437</v>
      </c>
      <c r="C5" s="127">
        <v>361</v>
      </c>
      <c r="D5" s="127">
        <v>590</v>
      </c>
      <c r="E5" s="127">
        <v>810</v>
      </c>
      <c r="F5" s="127">
        <v>6568</v>
      </c>
    </row>
    <row r="6" spans="1:3" ht="12.75">
      <c r="A6" s="132"/>
      <c r="B6" s="127"/>
      <c r="C6" s="13"/>
    </row>
    <row r="7" spans="1:3" ht="12.75">
      <c r="A7" s="132"/>
      <c r="B7" s="127"/>
      <c r="C7" s="13"/>
    </row>
    <row r="8" spans="1:3" ht="12.75">
      <c r="A8" s="132"/>
      <c r="B8" s="127"/>
      <c r="C8" s="13"/>
    </row>
    <row r="9" spans="1:3" ht="12.75">
      <c r="A9" s="132"/>
      <c r="B9" s="127"/>
      <c r="C9" s="13"/>
    </row>
    <row r="10" spans="1:3" ht="12.75">
      <c r="A10" s="132"/>
      <c r="B10" s="127"/>
      <c r="C10" s="13"/>
    </row>
    <row r="11" spans="1:3" ht="12.75">
      <c r="A11" s="132"/>
      <c r="B11" s="127"/>
      <c r="C11" s="13"/>
    </row>
    <row r="12" spans="1:3" ht="12.75">
      <c r="A12" s="132"/>
      <c r="B12" s="127"/>
      <c r="C12" s="13"/>
    </row>
    <row r="13" spans="1:3" ht="12.75">
      <c r="A13" s="132"/>
      <c r="B13" s="127"/>
      <c r="C13" s="13"/>
    </row>
    <row r="14" spans="1:3" ht="12.75">
      <c r="A14" s="132"/>
      <c r="B14" s="127"/>
      <c r="C14" s="13"/>
    </row>
    <row r="15" spans="1:3" ht="12.75">
      <c r="A15" s="132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1"/>
    </row>
    <row r="22" ht="15.75">
      <c r="A22" s="131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OCS-17j, October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2017-10-16T14:03:15Z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