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  <sheet name="Sheet3" sheetId="2" r:id="rId2"/>
  </sheets>
  <definedNames>
    <definedName name="_xlnm.Print_Area" localSheetId="0">'Sheet2'!$A$1:$N$29</definedName>
  </definedNames>
  <calcPr fullCalcOnLoad="1"/>
</workbook>
</file>

<file path=xl/sharedStrings.xml><?xml version="1.0" encoding="utf-8"?>
<sst xmlns="http://schemas.openxmlformats.org/spreadsheetml/2006/main" count="80" uniqueCount="52">
  <si>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</si>
  <si>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</si>
  <si>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</si>
  <si>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</si>
  <si>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</si>
  <si>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</si>
  <si>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</si>
  <si>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</si>
  <si>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</si>
  <si>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</si>
  <si>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</si>
  <si>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</si>
  <si>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</si>
  <si>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</si>
  <si>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</si>
  <si>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</si>
  <si>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</si>
  <si>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</si>
  <si>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</si>
  <si>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</si>
  <si>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</si>
  <si>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</si>
  <si>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</si>
  <si>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</si>
  <si>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</si>
  <si>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</si>
  <si>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</si>
  <si>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</si>
  <si>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</si>
  <si>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</si>
  <si>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</si>
  <si>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</si>
  <si>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June</t>
  </si>
  <si>
    <t xml:space="preserve">July </t>
  </si>
  <si>
    <t>August</t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</si>
  <si>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</si>
  <si>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</si>
  <si>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</si>
  <si>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</si>
  <si>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</si>
  <si>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</si>
  <si>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</si>
  <si>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</si>
  <si>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</si>
  <si>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</si>
  <si>
    <t xml:space="preserve">  April</t>
  </si>
  <si>
    <t xml:space="preserve">  May</t>
  </si>
  <si>
    <t>Seed</t>
  </si>
  <si>
    <t>2016/17</t>
  </si>
  <si>
    <t>Total to date</t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</si>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</sst>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0" fontId="2" fillId="0" borderId="11" xfId="0" applyFont="1" applyBorder="1" applyAlignment="1" quotePrefix="1">
      <alignment/>
    </xf>
    <xf numFmtId="164" fontId="1" fillId="0" borderId="0" xfId="42" applyNumberFormat="1" applyFont="1" applyBorder="1" applyAlignment="1" quotePrefix="1">
      <alignment horizontal="center"/>
    </xf>
    <xf numFmtId="167" fontId="1" fillId="0" borderId="0" xfId="42" applyNumberFormat="1" applyFont="1" applyBorder="1" applyAlignment="1" quotePrefix="1">
      <alignment horizontal="right"/>
    </xf>
    <xf numFmtId="167" fontId="1" fillId="0" borderId="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3" t="s">
        <v>0</v>
      </c>
      <c r="C2" s="43"/>
      <c r="D2" s="3" t="s">
        <v>1</v>
      </c>
      <c r="E2" s="43" t="s">
        <v>28</v>
      </c>
      <c r="F2" s="43"/>
      <c r="G2" s="43"/>
      <c r="H2" s="43"/>
      <c r="I2" s="4"/>
      <c r="J2" s="43" t="s">
        <v>15</v>
      </c>
      <c r="K2" s="43"/>
      <c r="L2" s="43"/>
      <c r="M2" s="43"/>
    </row>
    <row r="3" spans="1:14" ht="15.75">
      <c r="A3" s="2" t="s">
        <v>20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29</v>
      </c>
      <c r="L3" s="5"/>
      <c r="M3" s="5"/>
      <c r="N3" s="5" t="s">
        <v>5</v>
      </c>
    </row>
    <row r="4" spans="1:14" ht="15.75">
      <c r="A4" s="25" t="s">
        <v>21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30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4" t="s">
        <v>26</v>
      </c>
      <c r="C5" s="45"/>
      <c r="D5" s="23" t="s">
        <v>16</v>
      </c>
      <c r="F5" s="21"/>
      <c r="G5" s="21"/>
      <c r="J5" s="20" t="s">
        <v>27</v>
      </c>
      <c r="K5" s="20"/>
      <c r="L5" s="21"/>
      <c r="M5" s="21"/>
      <c r="N5" s="21"/>
    </row>
    <row r="6" spans="1:14" ht="18" customHeight="1">
      <c r="A6" s="2" t="s">
        <v>50</v>
      </c>
      <c r="B6" s="27">
        <v>82.65</v>
      </c>
      <c r="C6" s="27">
        <v>81.732</v>
      </c>
      <c r="D6" s="27">
        <f>+F6/C6</f>
        <v>48.03918905691773</v>
      </c>
      <c r="E6" s="33">
        <v>190.61</v>
      </c>
      <c r="F6" s="26">
        <f>F19</f>
        <v>3926.339</v>
      </c>
      <c r="G6" s="29">
        <f>G32</f>
        <v>23.5406396308524</v>
      </c>
      <c r="H6" s="29">
        <f>SUM(E6:G6)</f>
        <v>4140.489639630852</v>
      </c>
      <c r="I6" s="9"/>
      <c r="J6" s="26">
        <f>J32</f>
        <v>1886.2368000000001</v>
      </c>
      <c r="K6" s="26">
        <f>M6-J6-L6</f>
        <v>115.2675503874541</v>
      </c>
      <c r="L6" s="29">
        <f>L32</f>
        <v>1942.2562892433982</v>
      </c>
      <c r="M6" s="29">
        <f>+H6-N6</f>
        <v>3943.7606396308524</v>
      </c>
      <c r="N6" s="29">
        <f>N31</f>
        <v>196.729</v>
      </c>
    </row>
    <row r="7" spans="1:14" ht="18.75">
      <c r="A7" s="2" t="s">
        <v>43</v>
      </c>
      <c r="B7" s="27">
        <v>83.433</v>
      </c>
      <c r="C7" s="27">
        <v>82.736</v>
      </c>
      <c r="D7" s="27">
        <f>+F7/C7</f>
        <v>52.0531691162251</v>
      </c>
      <c r="E7" s="33">
        <f>N6</f>
        <v>196.729</v>
      </c>
      <c r="F7" s="26">
        <f>F38</f>
        <v>4306.671</v>
      </c>
      <c r="G7" s="29">
        <v>25</v>
      </c>
      <c r="H7" s="29">
        <f>SUM(E7:G7)</f>
        <v>4528.400000000001</v>
      </c>
      <c r="J7" s="26">
        <v>1890</v>
      </c>
      <c r="K7" s="26">
        <f>M7-J7-L7</f>
        <v>118.40000000000055</v>
      </c>
      <c r="L7" s="29">
        <v>2150</v>
      </c>
      <c r="M7" s="29">
        <f>+H7-N7</f>
        <v>4158.400000000001</v>
      </c>
      <c r="N7" s="29">
        <v>370</v>
      </c>
    </row>
    <row r="8" spans="1:14" ht="18.75">
      <c r="A8" s="2" t="s">
        <v>51</v>
      </c>
      <c r="B8" s="27">
        <v>89.513</v>
      </c>
      <c r="C8" s="27">
        <v>88.731</v>
      </c>
      <c r="D8" s="27">
        <f>+F8/C8</f>
        <v>49.3745477905129</v>
      </c>
      <c r="E8" s="33">
        <f>N7</f>
        <v>370</v>
      </c>
      <c r="F8" s="26">
        <v>4381.053</v>
      </c>
      <c r="G8" s="29">
        <v>25.45</v>
      </c>
      <c r="H8" s="29">
        <f>SUM(E8:G8)</f>
        <v>4776.503</v>
      </c>
      <c r="J8" s="26">
        <v>1940</v>
      </c>
      <c r="K8" s="26">
        <f>M8-J8-L8</f>
        <v>136.5029999999997</v>
      </c>
      <c r="L8" s="29">
        <v>2225</v>
      </c>
      <c r="M8" s="29">
        <f>+H8-N8</f>
        <v>4301.503</v>
      </c>
      <c r="N8" s="29">
        <v>475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3" t="s">
        <v>28</v>
      </c>
      <c r="F11" s="43"/>
      <c r="G11" s="43"/>
      <c r="H11" s="43"/>
      <c r="I11" s="4"/>
      <c r="J11" s="43" t="s">
        <v>15</v>
      </c>
      <c r="K11" s="43"/>
      <c r="L11" s="43"/>
      <c r="M11" s="43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47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8" t="s">
        <v>41</v>
      </c>
      <c r="F14" s="38"/>
      <c r="G14" s="38"/>
      <c r="H14" s="38"/>
      <c r="I14" s="38"/>
      <c r="J14" s="38"/>
      <c r="K14" s="38"/>
      <c r="L14" s="38"/>
      <c r="M14" s="38"/>
      <c r="N14" s="38"/>
    </row>
    <row r="15" spans="1:14" ht="18.75" customHeight="1">
      <c r="A15" s="2" t="s">
        <v>35</v>
      </c>
      <c r="B15" s="4"/>
      <c r="C15" s="4"/>
      <c r="D15" s="4"/>
      <c r="E15" s="12"/>
      <c r="F15" s="14"/>
      <c r="G15" s="30"/>
      <c r="H15" s="31"/>
      <c r="I15" s="31"/>
      <c r="J15" s="31"/>
      <c r="K15" s="14"/>
      <c r="L15" s="30"/>
      <c r="M15" s="14"/>
      <c r="N15" s="31"/>
    </row>
    <row r="16" spans="1:14" ht="18.75" customHeight="1">
      <c r="A16" s="2" t="s">
        <v>36</v>
      </c>
      <c r="B16" s="4"/>
      <c r="C16" s="4"/>
      <c r="D16" s="4"/>
      <c r="E16" s="12"/>
      <c r="F16" s="14"/>
      <c r="G16" s="30">
        <f>(22.649047+34.075833+9.902774)*2.204622/60</f>
        <v>2.4481465302798004</v>
      </c>
      <c r="H16" s="31"/>
      <c r="I16" s="31"/>
      <c r="J16" s="31">
        <f>4.036896*2000/60</f>
        <v>134.5632</v>
      </c>
      <c r="K16" s="30"/>
      <c r="L16" s="30">
        <f>(8.635616+2340.934)*2.204622/60</f>
        <v>86.3318810994192</v>
      </c>
      <c r="M16" s="30"/>
      <c r="N16" s="31"/>
    </row>
    <row r="17" spans="1:14" ht="18.75" customHeight="1">
      <c r="A17" s="2" t="s">
        <v>37</v>
      </c>
      <c r="B17" s="4"/>
      <c r="C17" s="4"/>
      <c r="D17" s="4"/>
      <c r="E17" s="12"/>
      <c r="F17" s="14"/>
      <c r="G17" s="30">
        <f>(30.849031+15.402368+14.004607)*2.204622/60</f>
        <v>2.2140286076622</v>
      </c>
      <c r="H17" s="31"/>
      <c r="I17" s="31"/>
      <c r="J17" s="31">
        <f>5.10401*2000/60</f>
        <v>170.13366666666664</v>
      </c>
      <c r="K17" s="30"/>
      <c r="L17" s="30">
        <f>(54.568525+10008.889)*2.204622/60</f>
        <v>369.7686642613425</v>
      </c>
      <c r="M17" s="30"/>
      <c r="N17" s="31"/>
    </row>
    <row r="18" spans="1:14" ht="18.75" customHeight="1">
      <c r="A18" s="2" t="s">
        <v>38</v>
      </c>
      <c r="B18" s="4"/>
      <c r="C18" s="4"/>
      <c r="D18" s="4"/>
      <c r="E18" s="12"/>
      <c r="F18" s="14"/>
      <c r="G18" s="30">
        <f>(18.546383+23.93718+7.668508)*2.204622/60</f>
        <v>1.8427726512027003</v>
      </c>
      <c r="H18" s="31"/>
      <c r="I18" s="31"/>
      <c r="J18" s="31">
        <f>4.973534*2000/60</f>
        <v>165.78446666666665</v>
      </c>
      <c r="K18" s="30"/>
      <c r="L18" s="30">
        <f>(45.311179+9126.091)*2.204622/60</f>
        <v>336.99125024452235</v>
      </c>
      <c r="M18" s="30"/>
      <c r="N18" s="31"/>
    </row>
    <row r="19" spans="1:14" ht="18.75" customHeight="1">
      <c r="A19" s="2" t="s">
        <v>22</v>
      </c>
      <c r="B19" s="4"/>
      <c r="C19" s="4"/>
      <c r="D19" s="4"/>
      <c r="E19" s="12">
        <v>190.61</v>
      </c>
      <c r="F19" s="14">
        <v>3926.339</v>
      </c>
      <c r="G19" s="30">
        <f>SUM(G16:G18)</f>
        <v>6.504947789144701</v>
      </c>
      <c r="H19" s="31">
        <f>E19+F19+G19</f>
        <v>4123.453947789144</v>
      </c>
      <c r="I19" s="31"/>
      <c r="J19" s="31">
        <f>SUM(J16:J18)</f>
        <v>470.4813333333333</v>
      </c>
      <c r="K19" s="32">
        <f>M19-L19-J19</f>
        <v>145.80381885052645</v>
      </c>
      <c r="L19" s="30">
        <f>SUM(L16:L18)</f>
        <v>793.091795605284</v>
      </c>
      <c r="M19" s="30">
        <f>H19-N19</f>
        <v>1409.3769477891437</v>
      </c>
      <c r="N19" s="31">
        <v>2714.077</v>
      </c>
    </row>
    <row r="20" spans="1:14" ht="18.75" customHeight="1">
      <c r="A20" s="2" t="s">
        <v>39</v>
      </c>
      <c r="B20" s="4"/>
      <c r="C20" s="4"/>
      <c r="D20" s="4"/>
      <c r="E20" s="12"/>
      <c r="F20" s="14"/>
      <c r="G20" s="30">
        <f>(23.066654+23.435922+11.862994)*2.204622/60</f>
        <v>2.1445669944090002</v>
      </c>
      <c r="H20" s="31"/>
      <c r="I20" s="31"/>
      <c r="J20" s="31">
        <f>5.011324*2000/60</f>
        <v>167.04413333333335</v>
      </c>
      <c r="K20" s="30"/>
      <c r="L20" s="30">
        <f>(27.739906+6712.677)*2.204622/60</f>
        <v>247.6678566689922</v>
      </c>
      <c r="M20" s="30"/>
      <c r="N20" s="31"/>
    </row>
    <row r="21" spans="1:14" ht="18.75" customHeight="1">
      <c r="A21" s="2" t="s">
        <v>40</v>
      </c>
      <c r="B21" s="4"/>
      <c r="C21" s="4"/>
      <c r="D21" s="4"/>
      <c r="E21" s="12"/>
      <c r="F21" s="14"/>
      <c r="G21" s="30">
        <f>(22.266702+50.066599+5.493654)*2.204622/60</f>
        <v>2.8596502864335</v>
      </c>
      <c r="H21" s="31"/>
      <c r="I21" s="31"/>
      <c r="J21" s="31">
        <f>4.814044*2000/60</f>
        <v>160.46813333333333</v>
      </c>
      <c r="K21" s="30"/>
      <c r="L21" s="30">
        <f>(23.530122+6062.143)*2.204622/60</f>
        <v>223.6101474928314</v>
      </c>
      <c r="M21" s="30"/>
      <c r="N21" s="31"/>
    </row>
    <row r="22" spans="1:14" ht="15.75">
      <c r="A22" s="2" t="s">
        <v>42</v>
      </c>
      <c r="B22" s="4"/>
      <c r="C22" s="4"/>
      <c r="D22" s="4"/>
      <c r="E22" s="12"/>
      <c r="F22" s="14"/>
      <c r="G22" s="30">
        <f>(13.304847+12.505821+7.999404)*2.204622/60</f>
        <v>1.2423071425464</v>
      </c>
      <c r="H22" s="31"/>
      <c r="I22" s="31"/>
      <c r="J22" s="31">
        <f>4.638663*2000/60</f>
        <v>154.62210000000002</v>
      </c>
      <c r="K22" s="30"/>
      <c r="L22" s="30">
        <f>(37.698284+5645.763)*2.204622/60</f>
        <v>208.8313963809108</v>
      </c>
      <c r="M22" s="30"/>
      <c r="N22" s="31"/>
    </row>
    <row r="23" spans="1:14" ht="15.75">
      <c r="A23" s="2" t="s">
        <v>23</v>
      </c>
      <c r="B23" s="4"/>
      <c r="C23" s="4"/>
      <c r="D23" s="4"/>
      <c r="E23" s="12">
        <f>N19</f>
        <v>2714.077</v>
      </c>
      <c r="F23" s="14"/>
      <c r="G23" s="30">
        <f>SUM(G20:G22)</f>
        <v>6.2465244233889</v>
      </c>
      <c r="H23" s="31">
        <f>E23+F23+G23</f>
        <v>2720.3235244233892</v>
      </c>
      <c r="I23" s="31"/>
      <c r="J23" s="31">
        <f>SUM(J20:J22)</f>
        <v>482.13436666666666</v>
      </c>
      <c r="K23" s="32">
        <f>M23-L23-J23</f>
        <v>27.17375721398821</v>
      </c>
      <c r="L23" s="30">
        <f>SUM(L20:L22)</f>
        <v>680.1094005427344</v>
      </c>
      <c r="M23" s="30">
        <f>H23-N23</f>
        <v>1189.4175244233893</v>
      </c>
      <c r="N23" s="31">
        <v>1530.906</v>
      </c>
    </row>
    <row r="24" spans="1:14" ht="15.75">
      <c r="A24" s="2" t="s">
        <v>44</v>
      </c>
      <c r="B24" s="4"/>
      <c r="C24" s="4"/>
      <c r="D24" s="4"/>
      <c r="E24" s="12"/>
      <c r="F24" s="14"/>
      <c r="G24" s="30">
        <f>(8.5332+45.147015+14.241051)*2.204622/60</f>
        <v>2.4956786215242</v>
      </c>
      <c r="H24" s="31"/>
      <c r="I24" s="31"/>
      <c r="J24" s="31">
        <f>4.991626*2000/60</f>
        <v>166.38753333333335</v>
      </c>
      <c r="K24" s="32"/>
      <c r="L24" s="30">
        <f>(43.53564+2599.246)*2.204622/60</f>
        <v>97.105575745668</v>
      </c>
      <c r="M24" s="30"/>
      <c r="N24" s="31"/>
    </row>
    <row r="25" spans="1:14" ht="15.75">
      <c r="A25" s="2" t="s">
        <v>45</v>
      </c>
      <c r="B25" s="4"/>
      <c r="C25" s="4"/>
      <c r="D25" s="4"/>
      <c r="E25" s="12"/>
      <c r="F25" s="14"/>
      <c r="G25" s="30">
        <f>(3.191769+38.467305+8.10455)*2.204622/60</f>
        <v>1.8284996711688002</v>
      </c>
      <c r="H25" s="31"/>
      <c r="I25" s="31"/>
      <c r="J25" s="31">
        <f>4.74509*2000/60</f>
        <v>158.16966666666667</v>
      </c>
      <c r="K25" s="32"/>
      <c r="L25" s="30">
        <f>(39.4526+1320.232)*2.204622/60</f>
        <v>49.95984303702001</v>
      </c>
      <c r="M25" s="30"/>
      <c r="N25" s="31"/>
    </row>
    <row r="26" spans="1:12" ht="18.75" customHeight="1">
      <c r="A26" s="2" t="s">
        <v>46</v>
      </c>
      <c r="B26" s="4"/>
      <c r="C26" s="4"/>
      <c r="D26" s="4"/>
      <c r="E26" s="12"/>
      <c r="F26" s="14"/>
      <c r="G26" s="30">
        <f>(2.886129+13.662162+6.032734)*2.204622/60</f>
        <v>0.8297104082925</v>
      </c>
      <c r="J26" s="31">
        <f>4.825833*2000/60</f>
        <v>160.86110000000002</v>
      </c>
      <c r="L26" s="30">
        <f>(40.802278+846.531)*2.204622/60</f>
        <v>32.6039077668486</v>
      </c>
    </row>
    <row r="27" spans="1:14" ht="18.75" customHeight="1">
      <c r="A27" s="2" t="s">
        <v>24</v>
      </c>
      <c r="B27" s="4"/>
      <c r="C27" s="4"/>
      <c r="D27" s="4"/>
      <c r="E27" s="12">
        <f>N23</f>
        <v>1530.906</v>
      </c>
      <c r="F27" s="14"/>
      <c r="G27" s="30">
        <f>SUM(G24:G26)</f>
        <v>5.1538887009855</v>
      </c>
      <c r="H27" s="31">
        <f>E27+F27+G27</f>
        <v>1536.0598887009855</v>
      </c>
      <c r="I27" s="31"/>
      <c r="J27" s="31">
        <f>SUM(J24:J26)</f>
        <v>485.41830000000004</v>
      </c>
      <c r="K27" s="32">
        <f>M27-L27-J27</f>
        <v>-0.8087378485511181</v>
      </c>
      <c r="L27" s="30">
        <f>SUM(L24:L26)</f>
        <v>179.66932654953663</v>
      </c>
      <c r="M27" s="30">
        <f>H27-N27</f>
        <v>664.2788887009856</v>
      </c>
      <c r="N27" s="31">
        <v>871.781</v>
      </c>
    </row>
    <row r="28" spans="1:14" ht="18.75" customHeight="1">
      <c r="A28" s="2" t="s">
        <v>32</v>
      </c>
      <c r="B28" s="4"/>
      <c r="C28" s="4"/>
      <c r="D28" s="4"/>
      <c r="E28" s="12"/>
      <c r="F28" s="14"/>
      <c r="G28" s="30">
        <f>(22.183655+32.099879+10.748688)*2.204622/60</f>
        <v>2.3895244555014004</v>
      </c>
      <c r="H28" s="31"/>
      <c r="I28" s="31"/>
      <c r="J28" s="31">
        <f>4.623752*2000/60</f>
        <v>154.12506666666664</v>
      </c>
      <c r="K28" s="32"/>
      <c r="L28" s="30">
        <f>(43.343375+1008.726)*2.204622/60</f>
        <v>38.6569214941875</v>
      </c>
      <c r="M28" s="30"/>
      <c r="N28" s="31"/>
    </row>
    <row r="29" spans="1:14" ht="18.75" customHeight="1">
      <c r="A29" s="2" t="s">
        <v>33</v>
      </c>
      <c r="B29" s="4"/>
      <c r="C29" s="4"/>
      <c r="D29" s="4"/>
      <c r="E29" s="12"/>
      <c r="F29" s="14"/>
      <c r="G29" s="30">
        <f>(9.669726+23.795206+5.550528)*2.204622/60</f>
        <v>1.433572357602</v>
      </c>
      <c r="H29" s="31"/>
      <c r="I29" s="31"/>
      <c r="J29" s="31">
        <f>4.603543*2000/60</f>
        <v>153.45143333333334</v>
      </c>
      <c r="K29" s="32"/>
      <c r="L29" s="30">
        <f>(33.198159+2628.604)*2.204622/60</f>
        <v>97.8044599896483</v>
      </c>
      <c r="M29" s="30"/>
      <c r="N29" s="31"/>
    </row>
    <row r="30" spans="1:14" ht="18.75" customHeight="1">
      <c r="A30" s="2" t="s">
        <v>34</v>
      </c>
      <c r="B30" s="4"/>
      <c r="C30" s="4"/>
      <c r="D30" s="4"/>
      <c r="E30" s="12"/>
      <c r="F30" s="14"/>
      <c r="G30" s="30">
        <f>(3.865499+36.545759+8.908269)*2.204622/60</f>
        <v>1.8121819042298997</v>
      </c>
      <c r="H30" s="31"/>
      <c r="I30" s="31"/>
      <c r="J30" s="31">
        <f>4.218789*2000/60</f>
        <v>140.6263</v>
      </c>
      <c r="K30" s="32"/>
      <c r="L30" s="30">
        <f>(66.074229+4095.847)*2.204622/60</f>
        <v>152.92438506200733</v>
      </c>
      <c r="M30" s="30"/>
      <c r="N30" s="31"/>
    </row>
    <row r="31" spans="1:14" ht="18.75" customHeight="1">
      <c r="A31" s="13" t="s">
        <v>25</v>
      </c>
      <c r="B31" s="4"/>
      <c r="C31" s="4"/>
      <c r="D31" s="4"/>
      <c r="E31" s="12">
        <f>N27</f>
        <v>871.781</v>
      </c>
      <c r="F31" s="14"/>
      <c r="G31" s="30">
        <f>SUM(G28:G30)</f>
        <v>5.6352787173333</v>
      </c>
      <c r="H31" s="31">
        <f>SUM(E31:G31)</f>
        <v>877.4162787173333</v>
      </c>
      <c r="I31" s="31"/>
      <c r="J31" s="31">
        <f>SUM(J28:J30)</f>
        <v>448.2028</v>
      </c>
      <c r="K31" s="32">
        <f>M31-L31-J31</f>
        <v>-56.90128782850991</v>
      </c>
      <c r="L31" s="30">
        <f>SUM(L28:L30)</f>
        <v>289.3857665458431</v>
      </c>
      <c r="M31" s="30">
        <f>+H31-N31</f>
        <v>680.6872787173332</v>
      </c>
      <c r="N31" s="31">
        <v>196.729</v>
      </c>
    </row>
    <row r="32" spans="1:14" ht="18.75" customHeight="1">
      <c r="A32" s="4" t="s">
        <v>9</v>
      </c>
      <c r="B32" s="4"/>
      <c r="C32" s="4"/>
      <c r="D32" s="4"/>
      <c r="E32" s="12"/>
      <c r="F32" s="39">
        <f>F19+F23+F27</f>
        <v>3926.339</v>
      </c>
      <c r="G32" s="30">
        <f>G19+G23+G27+G31</f>
        <v>23.5406396308524</v>
      </c>
      <c r="H32" s="31">
        <f>E19+F32+G32</f>
        <v>4140.489639630852</v>
      </c>
      <c r="I32" s="31"/>
      <c r="J32" s="31">
        <f>J19+J23+J27+J31</f>
        <v>1886.2368000000001</v>
      </c>
      <c r="K32" s="40">
        <f>K19+K23+K27+K31</f>
        <v>115.26755038745364</v>
      </c>
      <c r="L32" s="30">
        <f>L19+L23+L27+L31</f>
        <v>1942.2562892433982</v>
      </c>
      <c r="M32" s="30">
        <f>M19+M23+M27+M31</f>
        <v>3943.760639630852</v>
      </c>
      <c r="N32" s="41"/>
    </row>
    <row r="33" spans="1:14" ht="15.75">
      <c r="A33" s="4"/>
      <c r="B33" s="4"/>
      <c r="C33" s="4"/>
      <c r="D33" s="4"/>
      <c r="E33" s="12"/>
      <c r="F33" s="39"/>
      <c r="G33" s="30"/>
      <c r="H33" s="31"/>
      <c r="I33" s="31"/>
      <c r="J33" s="31"/>
      <c r="K33" s="40"/>
      <c r="L33" s="30"/>
      <c r="M33" s="39"/>
      <c r="N33" s="41"/>
    </row>
    <row r="34" spans="1:14" ht="15.75">
      <c r="A34" s="2" t="s">
        <v>48</v>
      </c>
      <c r="B34" s="4"/>
      <c r="C34" s="4"/>
      <c r="D34" s="4"/>
      <c r="E34" s="12"/>
      <c r="F34" s="39"/>
      <c r="G34" s="30"/>
      <c r="H34" s="31"/>
      <c r="I34" s="31"/>
      <c r="J34" s="31"/>
      <c r="K34" s="40"/>
      <c r="L34" s="30"/>
      <c r="M34" s="39"/>
      <c r="N34" s="41"/>
    </row>
    <row r="35" spans="1:14" ht="15.75">
      <c r="A35" s="4" t="s">
        <v>36</v>
      </c>
      <c r="B35" s="4"/>
      <c r="C35" s="4"/>
      <c r="D35" s="4"/>
      <c r="E35" s="12"/>
      <c r="F35" s="39"/>
      <c r="G35" s="30">
        <f>(12.140982+44.365888+5.969151)*2.204622/60</f>
        <v>2.2956001728177</v>
      </c>
      <c r="H35" s="31"/>
      <c r="I35" s="31"/>
      <c r="J35" s="31">
        <f>4.148008*2000/60</f>
        <v>138.26693333333333</v>
      </c>
      <c r="K35" s="40"/>
      <c r="L35" s="30">
        <f>(34.073378+3681.848)*2.204622/60</f>
        <v>136.53670033681863</v>
      </c>
      <c r="M35" s="39"/>
      <c r="N35" s="41"/>
    </row>
    <row r="36" spans="1:73" ht="15.75">
      <c r="A36" s="4" t="s">
        <v>37</v>
      </c>
      <c r="B36" s="4"/>
      <c r="C36" s="4"/>
      <c r="D36" s="4"/>
      <c r="E36" s="12"/>
      <c r="F36" s="39"/>
      <c r="G36" s="30">
        <f>(13.811565+29.41625+4.478324)*2.204622/60</f>
        <v>1.7529000595743</v>
      </c>
      <c r="H36" s="31"/>
      <c r="I36" s="31"/>
      <c r="J36" s="31">
        <f>5.276415*2000/60</f>
        <v>175.8805</v>
      </c>
      <c r="K36" s="40"/>
      <c r="L36" s="30">
        <f>(69.837116+11147.093)*2.204622/60</f>
        <v>412.1515151032693</v>
      </c>
      <c r="M36" s="39"/>
      <c r="N36" s="41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4" t="s">
        <v>38</v>
      </c>
      <c r="B37" s="4"/>
      <c r="C37" s="4"/>
      <c r="D37" s="4"/>
      <c r="E37" s="12"/>
      <c r="F37" s="39"/>
      <c r="G37" s="30">
        <f>(6.25616+26.146455+5.06881)*2.204622/60</f>
        <v>1.3768387987725</v>
      </c>
      <c r="H37" s="31"/>
      <c r="I37" s="31"/>
      <c r="J37" s="31">
        <f>5.122038*2000/60</f>
        <v>170.73459999999997</v>
      </c>
      <c r="K37" s="40"/>
      <c r="L37" s="30">
        <f>(56.047981+10209.532)*2.204622/60</f>
        <v>377.19539114786966</v>
      </c>
      <c r="M37" s="39"/>
      <c r="N37" s="41"/>
      <c r="P37" s="22"/>
      <c r="Q37" s="22"/>
      <c r="R37" s="22"/>
      <c r="S37" s="22"/>
      <c r="T37" s="22"/>
      <c r="U37" s="22"/>
    </row>
    <row r="38" spans="1:18" ht="15.75">
      <c r="A38" s="2" t="s">
        <v>22</v>
      </c>
      <c r="B38" s="4"/>
      <c r="C38" s="4"/>
      <c r="D38" s="4"/>
      <c r="E38" s="12">
        <f>N31</f>
        <v>196.729</v>
      </c>
      <c r="F38" s="14">
        <v>4306.671</v>
      </c>
      <c r="G38" s="30">
        <f>G35+G36+G37</f>
        <v>5.4253390311645</v>
      </c>
      <c r="H38" s="31">
        <f>SUM(E38:G38)</f>
        <v>4508.825339031165</v>
      </c>
      <c r="I38" s="31"/>
      <c r="J38" s="31">
        <f>J35+J36+J37</f>
        <v>484.8820333333333</v>
      </c>
      <c r="K38" s="32">
        <f>M38-L38-J38</f>
        <v>199.680699109874</v>
      </c>
      <c r="L38" s="30">
        <f>L35+L36+L37</f>
        <v>925.8836065879575</v>
      </c>
      <c r="M38" s="30">
        <f>H38-N38</f>
        <v>1610.4463390311648</v>
      </c>
      <c r="N38" s="31">
        <v>2898.379</v>
      </c>
      <c r="P38" s="22"/>
      <c r="Q38" s="22"/>
      <c r="R38" s="22"/>
    </row>
    <row r="39" spans="1:18" ht="15.75">
      <c r="A39" s="2" t="s">
        <v>39</v>
      </c>
      <c r="B39" s="4"/>
      <c r="C39" s="4"/>
      <c r="D39" s="4"/>
      <c r="E39" s="12"/>
      <c r="F39" s="39"/>
      <c r="G39" s="30">
        <f>(4.172442+23.85058+3.852958)*2.204622/60</f>
        <v>1.1712414463260001</v>
      </c>
      <c r="H39" s="31"/>
      <c r="I39" s="31"/>
      <c r="J39" s="31">
        <f>5.071493*2000/60</f>
        <v>169.04976666666667</v>
      </c>
      <c r="K39" s="30"/>
      <c r="L39" s="30">
        <f>(40.570246+7941.343)*2.204622/60</f>
        <v>293.2850257370502</v>
      </c>
      <c r="M39" s="39"/>
      <c r="N39" s="41"/>
      <c r="P39" s="22"/>
      <c r="Q39" s="22"/>
      <c r="R39" s="22"/>
    </row>
    <row r="40" spans="1:18" ht="15.75">
      <c r="A40" s="2" t="s">
        <v>40</v>
      </c>
      <c r="B40" s="4"/>
      <c r="C40" s="4"/>
      <c r="D40" s="4"/>
      <c r="E40" s="12"/>
      <c r="F40" s="39"/>
      <c r="G40" s="30">
        <f>(9.076343+55.123913+23.018611)*2.204622/60</f>
        <v>3.2047438833879</v>
      </c>
      <c r="H40" s="31"/>
      <c r="I40" s="31"/>
      <c r="J40" s="31">
        <f>5.124204*2000/60</f>
        <v>170.80679999999998</v>
      </c>
      <c r="K40" s="30"/>
      <c r="L40" s="30">
        <f>(56.504787+7366.494)*2.204622/60</f>
        <v>272.74844052989187</v>
      </c>
      <c r="M40" s="39"/>
      <c r="N40" s="41"/>
      <c r="P40" s="22"/>
      <c r="Q40" s="22"/>
      <c r="R40" s="22"/>
    </row>
    <row r="41" spans="1:18" ht="15.75">
      <c r="A41" s="2" t="s">
        <v>42</v>
      </c>
      <c r="B41" s="4"/>
      <c r="C41" s="4"/>
      <c r="D41" s="4"/>
      <c r="E41" s="12"/>
      <c r="F41" s="39"/>
      <c r="G41" s="30">
        <f>(12.779452+42.072277+6.673116)*2.204622/60</f>
        <v>2.2606504472265003</v>
      </c>
      <c r="H41" s="31"/>
      <c r="I41" s="31"/>
      <c r="J41" s="31">
        <f>4.530088*2000/60</f>
        <v>151.00293333333332</v>
      </c>
      <c r="K41" s="30"/>
      <c r="L41" s="30">
        <f>(49.270676+4366.775)*2.204622/60</f>
        <v>162.26185750524118</v>
      </c>
      <c r="M41" s="39"/>
      <c r="N41" s="41"/>
      <c r="P41" s="22"/>
      <c r="Q41" s="22"/>
      <c r="R41" s="22"/>
    </row>
    <row r="42" spans="1:18" ht="15.75">
      <c r="A42" s="2" t="s">
        <v>23</v>
      </c>
      <c r="B42" s="4"/>
      <c r="C42" s="4"/>
      <c r="D42" s="4"/>
      <c r="E42" s="12">
        <f>N38</f>
        <v>2898.379</v>
      </c>
      <c r="F42" s="14"/>
      <c r="G42" s="30">
        <f>SUM(G39:G41)</f>
        <v>6.6366357769404</v>
      </c>
      <c r="H42" s="31">
        <f>E42+F42+G42</f>
        <v>2905.01563577694</v>
      </c>
      <c r="I42" s="31"/>
      <c r="J42" s="31">
        <f>SUM(J39:J41)</f>
        <v>490.85949999999997</v>
      </c>
      <c r="K42" s="32">
        <f>M42-L42-J42</f>
        <v>-52.82618799524295</v>
      </c>
      <c r="L42" s="30">
        <f>SUM(L39:L41)</f>
        <v>728.2953237721832</v>
      </c>
      <c r="M42" s="30">
        <f>H42-N42</f>
        <v>1166.3286357769402</v>
      </c>
      <c r="N42" s="31">
        <v>1738.687</v>
      </c>
      <c r="P42" s="22"/>
      <c r="Q42" s="22"/>
      <c r="R42" s="22"/>
    </row>
    <row r="43" spans="1:18" ht="15.75">
      <c r="A43" s="2" t="s">
        <v>44</v>
      </c>
      <c r="B43" s="4"/>
      <c r="C43" s="4"/>
      <c r="D43" s="4"/>
      <c r="E43" s="12"/>
      <c r="F43" s="14"/>
      <c r="G43" s="30">
        <f>(12.811388+30.642647+17.025345)*2.204622/60</f>
        <v>2.2222361949060003</v>
      </c>
      <c r="H43" s="31"/>
      <c r="I43" s="31"/>
      <c r="J43" s="31">
        <f>4.800052*2000/60</f>
        <v>160.00173333333333</v>
      </c>
      <c r="K43" s="32"/>
      <c r="L43" s="30">
        <f>(69.313126+3051.288)*2.204622/60</f>
        <v>114.6624315934062</v>
      </c>
      <c r="M43" s="30"/>
      <c r="N43" s="31"/>
      <c r="P43" s="22"/>
      <c r="Q43" s="22"/>
      <c r="R43" s="22"/>
    </row>
    <row r="44" spans="1:18" ht="15.75">
      <c r="A44" s="2" t="s">
        <v>45</v>
      </c>
      <c r="B44" s="4"/>
      <c r="C44" s="4"/>
      <c r="D44" s="4"/>
      <c r="E44" s="12"/>
      <c r="F44" s="14"/>
      <c r="G44" s="30">
        <f>(8.582125+28.967068+6.119378)*2.204622/60</f>
        <v>1.6045448722527</v>
      </c>
      <c r="H44" s="31"/>
      <c r="I44" s="31"/>
      <c r="J44" s="31">
        <f>4.492906*2000/60</f>
        <v>149.76353333333333</v>
      </c>
      <c r="K44" s="32"/>
      <c r="L44" s="30">
        <f>(62.294194+2370.22)*2.204622/60</f>
        <v>89.37957179007779</v>
      </c>
      <c r="M44" s="30"/>
      <c r="N44" s="31"/>
      <c r="P44" s="22"/>
      <c r="Q44" s="22"/>
      <c r="R44" s="22"/>
    </row>
    <row r="45" spans="1:18" ht="15.75">
      <c r="A45" s="2" t="s">
        <v>46</v>
      </c>
      <c r="B45" s="4"/>
      <c r="C45" s="4"/>
      <c r="D45" s="4"/>
      <c r="E45" s="12"/>
      <c r="F45" s="14"/>
      <c r="G45" s="30">
        <f>(8.8507+42.500566+6.529572)*2.204622/60</f>
        <v>2.1267561472206</v>
      </c>
      <c r="H45" s="31"/>
      <c r="I45" s="31"/>
      <c r="J45" s="31">
        <f>4.739387*2000/60</f>
        <v>157.97956666666667</v>
      </c>
      <c r="K45" s="32"/>
      <c r="L45" s="30">
        <f>(48.508116+1401.462)*2.204622/60</f>
        <v>53.277266951269205</v>
      </c>
      <c r="M45" s="30"/>
      <c r="N45" s="31"/>
      <c r="O45" s="22"/>
      <c r="P45" s="22"/>
      <c r="Q45" s="22"/>
      <c r="R45" s="22"/>
    </row>
    <row r="46" spans="1:18" ht="15.75">
      <c r="A46" s="2" t="s">
        <v>24</v>
      </c>
      <c r="B46" s="4"/>
      <c r="C46" s="4"/>
      <c r="D46" s="4"/>
      <c r="E46" s="12">
        <f>N42</f>
        <v>1738.687</v>
      </c>
      <c r="F46" s="14"/>
      <c r="G46" s="30">
        <f>SUM(G43:G45)</f>
        <v>5.953537214379301</v>
      </c>
      <c r="H46" s="31">
        <f>E46+F46+G46</f>
        <v>1744.6405372143793</v>
      </c>
      <c r="I46" s="31"/>
      <c r="J46" s="31">
        <f>SUM(J43:J45)</f>
        <v>467.7448333333333</v>
      </c>
      <c r="K46" s="32">
        <f>M46-L46-J46</f>
        <v>56.206433546292715</v>
      </c>
      <c r="L46" s="30">
        <f>SUM(L43:L45)</f>
        <v>257.3192703347532</v>
      </c>
      <c r="M46" s="30">
        <f>H46-N46</f>
        <v>781.2705372143793</v>
      </c>
      <c r="N46" s="31">
        <v>963.37</v>
      </c>
      <c r="O46" s="22"/>
      <c r="P46" s="22"/>
      <c r="Q46" s="22"/>
      <c r="R46" s="22"/>
    </row>
    <row r="47" spans="1:18" ht="15.75">
      <c r="A47" s="2" t="s">
        <v>32</v>
      </c>
      <c r="B47" s="4"/>
      <c r="C47" s="4"/>
      <c r="D47" s="4"/>
      <c r="E47" s="12"/>
      <c r="F47" s="14"/>
      <c r="G47" s="30">
        <f>(4.98816+15.473421+8.217032)*2.204622/60</f>
        <v>1.0537583524881</v>
      </c>
      <c r="H47" s="31"/>
      <c r="I47" s="31"/>
      <c r="J47" s="31">
        <f>4.623765*2000/60</f>
        <v>154.1255</v>
      </c>
      <c r="K47" s="32"/>
      <c r="L47" s="30">
        <f>(45.783266+1749.668)*2.204622/60</f>
        <v>65.9715226825242</v>
      </c>
      <c r="M47" s="30"/>
      <c r="N47" s="31"/>
      <c r="O47" s="22"/>
      <c r="P47" s="22"/>
      <c r="Q47" s="22"/>
      <c r="R47" s="22"/>
    </row>
    <row r="48" spans="1:18" ht="15.75">
      <c r="A48" s="1" t="s">
        <v>49</v>
      </c>
      <c r="B48" s="1"/>
      <c r="C48" s="1"/>
      <c r="D48" s="1"/>
      <c r="E48" s="15"/>
      <c r="F48" s="34">
        <f>F38+F42+F46</f>
        <v>4306.671</v>
      </c>
      <c r="G48" s="35">
        <f>G38+G42+G46+G47</f>
        <v>19.0692703749723</v>
      </c>
      <c r="H48" s="36">
        <f>E38+F48+G48</f>
        <v>4522.469270374972</v>
      </c>
      <c r="I48" s="36"/>
      <c r="J48" s="36">
        <f>J38+J42+J46+J47</f>
        <v>1597.6118666666666</v>
      </c>
      <c r="K48" s="42">
        <f>K38+K42+K46</f>
        <v>203.06094466092378</v>
      </c>
      <c r="L48" s="35">
        <f>L38+L42+L46+L47</f>
        <v>1977.4697233774182</v>
      </c>
      <c r="M48" s="35">
        <f>M38+M42+M46</f>
        <v>3558.045512022484</v>
      </c>
      <c r="N48" s="37"/>
      <c r="O48" s="22"/>
      <c r="P48" s="22"/>
      <c r="Q48" s="22"/>
      <c r="R48" s="22"/>
    </row>
    <row r="49" spans="1:18" ht="18.75">
      <c r="A49" s="16" t="s">
        <v>31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17"/>
      <c r="M49" s="4"/>
      <c r="N49" s="4"/>
      <c r="O49" s="22"/>
      <c r="P49" s="22"/>
      <c r="Q49" s="22"/>
      <c r="R49" s="22"/>
    </row>
    <row r="50" spans="1:18" ht="15.75">
      <c r="A50" s="2" t="s">
        <v>18</v>
      </c>
      <c r="B50" s="2"/>
      <c r="C50" s="2"/>
      <c r="D50" s="2"/>
      <c r="E50" s="8"/>
      <c r="F50" s="8"/>
      <c r="G50" s="8"/>
      <c r="H50" s="8"/>
      <c r="I50" s="8"/>
      <c r="J50" s="8"/>
      <c r="K50" s="8"/>
      <c r="L50" s="8"/>
      <c r="M50" s="8"/>
      <c r="N50" s="8"/>
      <c r="O50" s="22"/>
      <c r="P50" s="22"/>
      <c r="Q50" s="22"/>
      <c r="R50" s="22"/>
    </row>
    <row r="51" spans="1:18" ht="15.75">
      <c r="A51" s="24" t="s">
        <v>19</v>
      </c>
      <c r="B51" s="2"/>
      <c r="C51" s="2"/>
      <c r="D51" s="2"/>
      <c r="E51" s="8"/>
      <c r="F51" s="8"/>
      <c r="G51" s="8"/>
      <c r="H51" s="8"/>
      <c r="I51" s="8"/>
      <c r="J51" s="8"/>
      <c r="K51" s="8"/>
      <c r="L51" s="8"/>
      <c r="M51" s="8"/>
      <c r="N51" s="8"/>
      <c r="O51" s="22"/>
      <c r="P51" s="22"/>
      <c r="Q51" s="22"/>
      <c r="R51" s="22"/>
    </row>
    <row r="52" spans="1:18" ht="15.75">
      <c r="A52" s="2" t="s">
        <v>13</v>
      </c>
      <c r="B52" s="18">
        <f ca="1">NOW()</f>
        <v>42958.59532453704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2017-08-11T18:17:19Z</dcterms:modified>
  <cp:category/>
  <cp:version/>
  <cp:contentType/>
  <cp:contentStatus/>
</cp:coreProperties>
</file>