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3/OCS-23F June 2023/"/>
    </mc:Choice>
  </mc:AlternateContent>
  <xr:revisionPtr revIDLastSave="1334" documentId="13_ncr:1_{03C732F9-66D6-4CB8-9D4C-9BC0FD2EC223}" xr6:coauthVersionLast="47" xr6:coauthVersionMax="47" xr10:uidLastSave="{DC02EC23-FB94-40EA-BD12-FCBA4F100F35}"/>
  <bookViews>
    <workbookView xWindow="-108" yWindow="-108" windowWidth="23256" windowHeight="12576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28" r:id="rId9"/>
    <sheet name="Figure 2" sheetId="136" r:id="rId10"/>
    <sheet name="Figure 3" sheetId="127" r:id="rId11"/>
    <sheet name="Figure 4" sheetId="125" r:id="rId12"/>
  </sheets>
  <definedNames>
    <definedName name="_xlnm.Print_Area" localSheetId="1">'Table 1'!$A$1:$N$42</definedName>
    <definedName name="_xlnm.Print_Area" localSheetId="7">'Table 10'!$A$1:$G$45</definedName>
    <definedName name="_xlnm.Print_Area" localSheetId="2">'Table 2'!$A$1:$J$34</definedName>
    <definedName name="_xlnm.Print_Area" localSheetId="3">'Table 3'!$A$1:$L$47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3" l="1"/>
  <c r="C12" i="125" l="1"/>
  <c r="C3" i="125"/>
  <c r="C4" i="125"/>
  <c r="C5" i="125"/>
  <c r="C6" i="125"/>
  <c r="C7" i="125"/>
  <c r="C8" i="125"/>
  <c r="C9" i="125"/>
  <c r="C10" i="125"/>
  <c r="C11" i="125"/>
  <c r="C13" i="125"/>
  <c r="C14" i="125"/>
  <c r="C15" i="125"/>
  <c r="C2" i="125"/>
  <c r="J32" i="9" l="1"/>
  <c r="D32" i="9"/>
  <c r="H32" i="2"/>
  <c r="D32" i="2"/>
  <c r="L39" i="1"/>
  <c r="G39" i="1"/>
  <c r="M8" i="1" l="1"/>
  <c r="M7" i="1"/>
  <c r="N7" i="1" s="1"/>
  <c r="M6" i="1"/>
  <c r="I31" i="9" l="1"/>
  <c r="J39" i="1"/>
  <c r="B32" i="9"/>
  <c r="E32" i="9" s="1"/>
  <c r="K32" i="9" s="1"/>
  <c r="G32" i="9" s="1"/>
  <c r="E32" i="2"/>
  <c r="I32" i="2" s="1"/>
  <c r="G32" i="2" s="1"/>
  <c r="B32" i="2"/>
  <c r="L40" i="1"/>
  <c r="J40" i="1"/>
  <c r="G40" i="1"/>
  <c r="D31" i="9"/>
  <c r="D31" i="2"/>
  <c r="J31" i="9" l="1"/>
  <c r="H31" i="2"/>
  <c r="G38" i="1" l="1"/>
  <c r="L38" i="1" l="1"/>
  <c r="J38" i="1" l="1"/>
  <c r="E46" i="3"/>
  <c r="H46" i="3" s="1"/>
  <c r="N46" i="3" s="1"/>
  <c r="L46" i="3" s="1"/>
  <c r="B33" i="3"/>
  <c r="E33" i="3" s="1"/>
  <c r="I33" i="3" s="1"/>
  <c r="G33" i="3" s="1"/>
  <c r="B21" i="3"/>
  <c r="E21" i="3" s="1"/>
  <c r="G21" i="3" s="1"/>
  <c r="I21" i="3" s="1"/>
  <c r="B8" i="3"/>
  <c r="E8" i="3" s="1"/>
  <c r="J8" i="3" s="1"/>
  <c r="I8" i="3" s="1"/>
  <c r="B8" i="2"/>
  <c r="E8" i="2" s="1"/>
  <c r="I8" i="2" s="1"/>
  <c r="E8" i="1"/>
  <c r="H8" i="1" s="1"/>
  <c r="N8" i="1" s="1"/>
  <c r="D8" i="1"/>
  <c r="E8" i="9" l="1"/>
  <c r="K8" i="9" s="1"/>
  <c r="G8" i="9" s="1"/>
  <c r="I8" i="9" s="1"/>
  <c r="B8" i="9"/>
  <c r="B11" i="9"/>
  <c r="B11" i="2"/>
  <c r="E14" i="1"/>
  <c r="B31" i="9" l="1"/>
  <c r="E31" i="9" s="1"/>
  <c r="K31" i="9" s="1"/>
  <c r="G31" i="9" s="1"/>
  <c r="B31" i="2"/>
  <c r="E31" i="2" s="1"/>
  <c r="I31" i="2" s="1"/>
  <c r="G31" i="2" s="1"/>
  <c r="G27" i="1"/>
  <c r="D30" i="9" l="1"/>
  <c r="D30" i="2"/>
  <c r="J30" i="9" l="1"/>
  <c r="H30" i="2"/>
  <c r="G36" i="1" l="1"/>
  <c r="L36" i="1" l="1"/>
  <c r="N37" i="1" l="1"/>
  <c r="N33" i="1"/>
  <c r="E37" i="1" s="1"/>
  <c r="B30" i="9" l="1"/>
  <c r="E30" i="9" s="1"/>
  <c r="K30" i="9" s="1"/>
  <c r="G30" i="9" s="1"/>
  <c r="I30" i="9" s="1"/>
  <c r="B30" i="2"/>
  <c r="E30" i="2" s="1"/>
  <c r="I30" i="2" s="1"/>
  <c r="G30" i="2" s="1"/>
  <c r="J36" i="1"/>
  <c r="J29" i="9" l="1"/>
  <c r="D29" i="9"/>
  <c r="H29" i="2"/>
  <c r="D29" i="2"/>
  <c r="G35" i="1"/>
  <c r="L35" i="1"/>
  <c r="J35" i="1"/>
  <c r="J34" i="1"/>
  <c r="J37" i="1" s="1"/>
  <c r="J32" i="1"/>
  <c r="J31" i="1"/>
  <c r="J30" i="1"/>
  <c r="J25" i="1"/>
  <c r="J24" i="1"/>
  <c r="J23" i="1"/>
  <c r="J21" i="1"/>
  <c r="J20" i="1"/>
  <c r="J19" i="1"/>
  <c r="J17" i="1"/>
  <c r="J16" i="1"/>
  <c r="B29" i="9"/>
  <c r="E29" i="9" s="1"/>
  <c r="K29" i="9" s="1"/>
  <c r="B29" i="2"/>
  <c r="E29" i="2" s="1"/>
  <c r="I29" i="2" s="1"/>
  <c r="G29" i="2" s="1"/>
  <c r="G29" i="9" l="1"/>
  <c r="I29" i="9" s="1"/>
  <c r="G34" i="1"/>
  <c r="G37" i="1" s="1"/>
  <c r="H37" i="1" s="1"/>
  <c r="M37" i="1" s="1"/>
  <c r="D28" i="9"/>
  <c r="J28" i="9"/>
  <c r="H28" i="2"/>
  <c r="D28" i="2"/>
  <c r="L34" i="1"/>
  <c r="L37" i="1" s="1"/>
  <c r="K37" i="1" l="1"/>
  <c r="B28" i="9"/>
  <c r="E28" i="9" s="1"/>
  <c r="K28" i="9" s="1"/>
  <c r="G28" i="9" s="1"/>
  <c r="I28" i="9" s="1"/>
  <c r="B28" i="2"/>
  <c r="E28" i="2" s="1"/>
  <c r="I28" i="2" s="1"/>
  <c r="G28" i="2" s="1"/>
  <c r="N26" i="1"/>
  <c r="F33" i="1"/>
  <c r="D27" i="9" l="1"/>
  <c r="D27" i="2"/>
  <c r="J27" i="9" l="1"/>
  <c r="H27" i="2"/>
  <c r="G32" i="1" l="1"/>
  <c r="L32" i="1" l="1"/>
  <c r="B27" i="9" l="1"/>
  <c r="E27" i="9" s="1"/>
  <c r="K27" i="9" s="1"/>
  <c r="G27" i="9" s="1"/>
  <c r="I27" i="9" s="1"/>
  <c r="B27" i="2"/>
  <c r="E27" i="2" s="1"/>
  <c r="I27" i="2" s="1"/>
  <c r="G27" i="2" s="1"/>
  <c r="D26" i="9"/>
  <c r="J26" i="9"/>
  <c r="H26" i="2"/>
  <c r="D26" i="2"/>
  <c r="L31" i="1" l="1"/>
  <c r="G31" i="1"/>
  <c r="B26" i="9" l="1"/>
  <c r="E26" i="9" s="1"/>
  <c r="K26" i="9" s="1"/>
  <c r="G26" i="9" s="1"/>
  <c r="I26" i="9" s="1"/>
  <c r="B26" i="2"/>
  <c r="E26" i="2" l="1"/>
  <c r="I26" i="2" s="1"/>
  <c r="G26" i="2" s="1"/>
  <c r="J23" i="9"/>
  <c r="H23" i="2"/>
  <c r="D23" i="9"/>
  <c r="D23" i="2"/>
  <c r="L27" i="1"/>
  <c r="L6" i="1" s="1"/>
  <c r="H22" i="2"/>
  <c r="G30" i="1"/>
  <c r="G33" i="1" s="1"/>
  <c r="L30" i="1"/>
  <c r="L33" i="1" s="1"/>
  <c r="J22" i="9" l="1"/>
  <c r="D22" i="9"/>
  <c r="D22" i="2"/>
  <c r="E33" i="4" l="1"/>
  <c r="J33" i="1"/>
  <c r="L6" i="9" l="1"/>
  <c r="J6" i="9"/>
  <c r="H23" i="9"/>
  <c r="D6" i="9"/>
  <c r="C23" i="9"/>
  <c r="B22" i="9"/>
  <c r="E22" i="9" s="1"/>
  <c r="K22" i="9" s="1"/>
  <c r="J6" i="2"/>
  <c r="B22" i="2"/>
  <c r="E22" i="2" s="1"/>
  <c r="I22" i="2" s="1"/>
  <c r="G22" i="2" s="1"/>
  <c r="C23" i="2"/>
  <c r="C6" i="2" s="1"/>
  <c r="C6" i="9" l="1"/>
  <c r="G22" i="9"/>
  <c r="I22" i="9" s="1"/>
  <c r="B47" i="6" l="1"/>
  <c r="B47" i="5"/>
  <c r="B46" i="4"/>
  <c r="B50" i="3"/>
  <c r="B35" i="9"/>
  <c r="B35" i="2"/>
  <c r="B43" i="1"/>
  <c r="D21" i="9" l="1"/>
  <c r="D21" i="2"/>
  <c r="G25" i="1" l="1"/>
  <c r="J21" i="9" l="1"/>
  <c r="H21" i="2"/>
  <c r="L25" i="1" l="1"/>
  <c r="F14" i="1" l="1"/>
  <c r="G33" i="4" l="1"/>
  <c r="F33" i="4"/>
  <c r="D33" i="4"/>
  <c r="C33" i="4"/>
  <c r="B33" i="4"/>
  <c r="E26" i="1"/>
  <c r="F27" i="1"/>
  <c r="E33" i="1"/>
  <c r="B21" i="2"/>
  <c r="E21" i="2" s="1"/>
  <c r="I21" i="2" s="1"/>
  <c r="G21" i="2" s="1"/>
  <c r="B21" i="9"/>
  <c r="E21" i="9" s="1"/>
  <c r="K21" i="9" s="1"/>
  <c r="H33" i="1" l="1"/>
  <c r="M33" i="1" s="1"/>
  <c r="F6" i="1"/>
  <c r="H27" i="1"/>
  <c r="N6" i="1"/>
  <c r="E7" i="1" s="1"/>
  <c r="G21" i="9"/>
  <c r="J20" i="9"/>
  <c r="H20" i="2"/>
  <c r="K33" i="1" l="1"/>
  <c r="I21" i="9"/>
  <c r="D20" i="9"/>
  <c r="D20" i="2"/>
  <c r="G24" i="1" l="1"/>
  <c r="L24" i="1" l="1"/>
  <c r="B20" i="9" l="1"/>
  <c r="E20" i="9" s="1"/>
  <c r="K20" i="9" s="1"/>
  <c r="G20" i="9" s="1"/>
  <c r="I20" i="9" s="1"/>
  <c r="B20" i="2"/>
  <c r="E20" i="2" s="1"/>
  <c r="I20" i="2" s="1"/>
  <c r="G20" i="2" s="1"/>
  <c r="D45" i="3" l="1"/>
  <c r="H19" i="2" l="1"/>
  <c r="H18" i="2"/>
  <c r="H17" i="2"/>
  <c r="H16" i="2"/>
  <c r="H15" i="2"/>
  <c r="H14" i="2"/>
  <c r="H13" i="2"/>
  <c r="H12" i="2"/>
  <c r="H11" i="2"/>
  <c r="H6" i="2" s="1"/>
  <c r="D19" i="2"/>
  <c r="D18" i="2"/>
  <c r="D17" i="2"/>
  <c r="D16" i="2"/>
  <c r="D15" i="2"/>
  <c r="D14" i="2"/>
  <c r="D13" i="2"/>
  <c r="D12" i="2"/>
  <c r="D11" i="2"/>
  <c r="D6" i="2" l="1"/>
  <c r="D19" i="9"/>
  <c r="D18" i="9"/>
  <c r="D17" i="9"/>
  <c r="D16" i="9"/>
  <c r="D15" i="9"/>
  <c r="D14" i="9"/>
  <c r="D13" i="9"/>
  <c r="D12" i="9"/>
  <c r="D11" i="9"/>
  <c r="J19" i="9" l="1"/>
  <c r="J18" i="9"/>
  <c r="J17" i="9"/>
  <c r="J16" i="9"/>
  <c r="J15" i="9"/>
  <c r="J14" i="9"/>
  <c r="J13" i="9"/>
  <c r="J12" i="9"/>
  <c r="J11" i="9"/>
  <c r="G23" i="1" l="1"/>
  <c r="G26" i="1" s="1"/>
  <c r="G21" i="1"/>
  <c r="G20" i="1"/>
  <c r="G19" i="1"/>
  <c r="G17" i="1"/>
  <c r="G16" i="1"/>
  <c r="G15" i="1"/>
  <c r="G13" i="1"/>
  <c r="G12" i="1"/>
  <c r="G11" i="1"/>
  <c r="L23" i="1"/>
  <c r="L26" i="1" s="1"/>
  <c r="L21" i="1"/>
  <c r="L20" i="1"/>
  <c r="L19" i="1"/>
  <c r="L17" i="1"/>
  <c r="L16" i="1"/>
  <c r="L15" i="1"/>
  <c r="L13" i="1"/>
  <c r="L12" i="1"/>
  <c r="L11" i="1"/>
  <c r="H26" i="1" l="1"/>
  <c r="M26" i="1" s="1"/>
  <c r="J26" i="1"/>
  <c r="B19" i="9"/>
  <c r="E19" i="9" s="1"/>
  <c r="K19" i="9" s="1"/>
  <c r="G19" i="9" s="1"/>
  <c r="I19" i="9" s="1"/>
  <c r="B19" i="2"/>
  <c r="E19" i="2" s="1"/>
  <c r="I19" i="2" s="1"/>
  <c r="G19" i="2" s="1"/>
  <c r="K26" i="1" l="1"/>
  <c r="E22" i="1"/>
  <c r="B18" i="2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5" i="3" l="1"/>
  <c r="H45" i="3" s="1"/>
  <c r="N45" i="3" s="1"/>
  <c r="L45" i="3" s="1"/>
  <c r="B32" i="3"/>
  <c r="E32" i="3" s="1"/>
  <c r="I32" i="3" s="1"/>
  <c r="G32" i="3" s="1"/>
  <c r="B20" i="3"/>
  <c r="E20" i="3" s="1"/>
  <c r="B7" i="3"/>
  <c r="E7" i="3" s="1"/>
  <c r="J7" i="3" s="1"/>
  <c r="I7" i="3" s="1"/>
  <c r="B7" i="9"/>
  <c r="E7" i="9" s="1"/>
  <c r="K7" i="9" s="1"/>
  <c r="G7" i="9" s="1"/>
  <c r="I7" i="9" s="1"/>
  <c r="B7" i="2"/>
  <c r="E7" i="2" s="1"/>
  <c r="I7" i="2" s="1"/>
  <c r="D7" i="1"/>
  <c r="B16" i="9"/>
  <c r="B16" i="2"/>
  <c r="E16" i="2" s="1"/>
  <c r="I16" i="2" s="1"/>
  <c r="L22" i="1"/>
  <c r="J22" i="1"/>
  <c r="G22" i="1"/>
  <c r="H22" i="1" s="1"/>
  <c r="G20" i="3" l="1"/>
  <c r="I20" i="3" s="1"/>
  <c r="H7" i="1"/>
  <c r="M22" i="1"/>
  <c r="K22" i="1" s="1"/>
  <c r="E16" i="9"/>
  <c r="K16" i="9" s="1"/>
  <c r="G16" i="9" s="1"/>
  <c r="I16" i="9" s="1"/>
  <c r="G16" i="2"/>
  <c r="B15" i="9"/>
  <c r="B15" i="2"/>
  <c r="E18" i="1"/>
  <c r="E15" i="9" l="1"/>
  <c r="K15" i="9" s="1"/>
  <c r="G15" i="9" s="1"/>
  <c r="I15" i="9" s="1"/>
  <c r="E15" i="2"/>
  <c r="I15" i="2" s="1"/>
  <c r="G15" i="2" s="1"/>
  <c r="B14" i="9" l="1"/>
  <c r="E14" i="9" s="1"/>
  <c r="K14" i="9" s="1"/>
  <c r="G14" i="9" s="1"/>
  <c r="I14" i="9" s="1"/>
  <c r="B14" i="2"/>
  <c r="E14" i="2" s="1"/>
  <c r="I14" i="2" s="1"/>
  <c r="G14" i="2" s="1"/>
  <c r="L18" i="1"/>
  <c r="G18" i="1"/>
  <c r="H18" i="1" s="1"/>
  <c r="M18" i="1" s="1"/>
  <c r="J15" i="1"/>
  <c r="J13" i="1"/>
  <c r="J18" i="1" l="1"/>
  <c r="K18" i="1" s="1"/>
  <c r="B13" i="9"/>
  <c r="E13" i="9" s="1"/>
  <c r="K13" i="9" s="1"/>
  <c r="G13" i="9" s="1"/>
  <c r="I13" i="9" s="1"/>
  <c r="B13" i="2"/>
  <c r="E13" i="2" s="1"/>
  <c r="I13" i="2" s="1"/>
  <c r="G13" i="2" s="1"/>
  <c r="B12" i="9" l="1"/>
  <c r="B12" i="2"/>
  <c r="E12" i="9" l="1"/>
  <c r="K12" i="9" s="1"/>
  <c r="G12" i="9" s="1"/>
  <c r="I12" i="9" s="1"/>
  <c r="E12" i="2"/>
  <c r="I12" i="2" s="1"/>
  <c r="G12" i="2" s="1"/>
  <c r="J12" i="1" l="1"/>
  <c r="E11" i="9" l="1"/>
  <c r="K11" i="9" s="1"/>
  <c r="E23" i="9"/>
  <c r="E6" i="9" s="1"/>
  <c r="E11" i="2"/>
  <c r="I11" i="2" s="1"/>
  <c r="E23" i="2"/>
  <c r="E6" i="2" s="1"/>
  <c r="G11" i="9" l="1"/>
  <c r="K23" i="9"/>
  <c r="G11" i="2"/>
  <c r="G23" i="2" s="1"/>
  <c r="G6" i="2" s="1"/>
  <c r="I23" i="2"/>
  <c r="I6" i="2" s="1"/>
  <c r="L14" i="1"/>
  <c r="G14" i="1"/>
  <c r="I11" i="9" l="1"/>
  <c r="I23" i="9" s="1"/>
  <c r="G23" i="9"/>
  <c r="G6" i="1"/>
  <c r="H14" i="1"/>
  <c r="M14" i="1" s="1"/>
  <c r="M27" i="1" s="1"/>
  <c r="J11" i="1"/>
  <c r="J14" i="1" s="1"/>
  <c r="J27" i="1" l="1"/>
  <c r="J6" i="1" s="1"/>
  <c r="K14" i="1"/>
  <c r="K27" i="1" s="1"/>
  <c r="D44" i="3" l="1"/>
  <c r="D6" i="1"/>
  <c r="K6" i="9" l="1"/>
  <c r="G6" i="9" s="1"/>
  <c r="I6" i="9" s="1"/>
  <c r="E6" i="3" l="1"/>
  <c r="J6" i="3" s="1"/>
  <c r="I6" i="3" s="1"/>
  <c r="E19" i="3"/>
  <c r="G19" i="3" s="1"/>
  <c r="I19" i="3" s="1"/>
  <c r="H44" i="3"/>
  <c r="N44" i="3" s="1"/>
  <c r="L44" i="3" s="1"/>
  <c r="E31" i="3" l="1"/>
  <c r="I31" i="3" s="1"/>
  <c r="G31" i="3" s="1"/>
  <c r="H6" i="1" l="1"/>
  <c r="K6" i="1" s="1"/>
</calcChain>
</file>

<file path=xl/sharedStrings.xml><?xml version="1.0" encoding="utf-8"?>
<sst xmlns="http://schemas.openxmlformats.org/spreadsheetml/2006/main" count="580" uniqueCount="196">
  <si>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</si>
  <si>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</si>
  <si>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</si>
  <si>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</si>
  <si>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</si>
  <si>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</si>
  <si>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</si>
  <si>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</si>
  <si>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</si>
  <si>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</si>
  <si>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</si>
  <si>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</si>
  <si>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</si>
  <si>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</si>
  <si>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</si>
  <si>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</si>
  <si>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</si>
  <si>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</si>
  <si>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</si>
  <si>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</si>
  <si>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</si>
  <si>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</si>
  <si>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</si>
  <si>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</si>
  <si>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</si>
  <si>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</si>
  <si>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</si>
  <si>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</si>
  <si>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</si>
  <si>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</si>
  <si>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</si>
  <si>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</si>
  <si>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</si>
  <si>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</si>
  <si>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</si>
  <si>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</si>
  <si>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</si>
  <si>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2021/22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</si>
  <si>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</si>
  <si>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</si>
  <si>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</si>
  <si>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</si>
  <si>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</si>
  <si>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</si>
  <si>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</si>
  <si>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</si>
  <si>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</si>
  <si>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</si>
  <si>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</si>
  <si>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</si>
  <si>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</si>
  <si>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</si>
  <si>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</si>
  <si>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</si>
  <si>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2022/23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</si>
  <si>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</si>
  <si>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</si>
  <si>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</si>
  <si>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</si>
  <si>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</si>
  <si>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</si>
  <si>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</si>
  <si>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</si>
  <si>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</si>
  <si>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</si>
  <si>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</si>
  <si>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</si>
  <si>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</si>
  <si>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</si>
  <si>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</si>
  <si>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</si>
  <si>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</si>
  <si>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</si>
  <si>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</si>
  <si>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</si>
  <si>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</si>
  <si>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</si>
  <si>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</si>
  <si>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</si>
  <si>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</si>
  <si>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</si>
  <si>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</si>
  <si>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</si>
  <si>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</si>
  <si>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</si>
  <si>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</si>
  <si>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</si>
  <si>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</si>
  <si>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</si>
  <si>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</si>
  <si>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</si>
  <si>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Pounds/acre</t>
  </si>
  <si>
    <t xml:space="preserve">      Million pounds</t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</si>
  <si>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</si>
  <si>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</si>
  <si>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</si>
  <si>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</si>
  <si>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</si>
  <si>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</si>
  <si>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</si>
  <si>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</si>
  <si>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</si>
  <si>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</si>
  <si>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</si>
  <si>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</si>
  <si>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</si>
  <si>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</si>
  <si>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</si>
  <si>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</si>
  <si>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</si>
  <si>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</si>
  <si>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</si>
  <si>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</si>
  <si>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</si>
  <si>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</si>
  <si>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</si>
  <si>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</si>
  <si>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</si>
  <si>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</si>
  <si>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</si>
  <si>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</si>
  <si>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</si>
  <si>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</si>
  <si>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</si>
  <si>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</si>
  <si>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</si>
  <si>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</si>
  <si>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</si>
  <si>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</si>
  <si>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</si>
  <si>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</si>
  <si>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</si>
  <si>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</si>
  <si>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</si>
  <si>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</si>
  <si>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</si>
  <si>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</si>
  <si>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</si>
  <si>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</si>
  <si>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</si>
  <si>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</si>
  <si>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</si>
  <si>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</si>
  <si>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</si>
  <si>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</si>
  <si>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</si>
  <si>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</si>
  <si>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</si>
  <si>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>Marketing year</t>
  </si>
  <si>
    <t>2023/24*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</si>
  <si>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</si>
  <si>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</si>
  <si>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</si>
  <si>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</si>
  <si>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</si>
  <si>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r>
      <t>2023/24</t>
    </r>
    <r>
      <rPr>
        <vertAlign val="superscript"/>
        <sz val="11"/>
        <rFont val="Arial"/>
        <family val="2"/>
      </rPr>
      <t>2</t>
    </r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</si>
  <si>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</si>
  <si>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</si>
  <si>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7</t>
    </r>
  </si>
  <si>
    <t>2022/23*</t>
  </si>
  <si>
    <t>Area harvested</t>
  </si>
  <si>
    <t>2023/24* May</t>
  </si>
  <si>
    <t>2023/24* June</t>
  </si>
  <si>
    <t>Argentina</t>
  </si>
  <si>
    <t>Brazil</t>
  </si>
  <si>
    <t>India</t>
  </si>
  <si>
    <t>United States</t>
  </si>
  <si>
    <t>2022/23*June</t>
  </si>
  <si>
    <t>2022/23*May</t>
  </si>
  <si>
    <t>May 23</t>
  </si>
  <si>
    <t>Apr. 23</t>
  </si>
  <si>
    <t>Mar. 23</t>
  </si>
  <si>
    <t>Feb. 23</t>
  </si>
  <si>
    <t>Jan. 23</t>
  </si>
  <si>
    <t>Dec. 22</t>
  </si>
  <si>
    <t>Nov. 22</t>
  </si>
  <si>
    <t>Oct. 22</t>
  </si>
  <si>
    <t>Sep. 22</t>
  </si>
  <si>
    <t>Aug. 22</t>
  </si>
  <si>
    <t>Jul. 22</t>
  </si>
  <si>
    <t>Jun. 22</t>
  </si>
  <si>
    <t>May 22</t>
  </si>
  <si>
    <t>Apr. 22</t>
  </si>
  <si>
    <t>Mar. 22</t>
  </si>
  <si>
    <t>Feb. 22</t>
  </si>
  <si>
    <t>Jan. 22</t>
  </si>
  <si>
    <t>Dec. 21</t>
  </si>
  <si>
    <t>Nov. 21</t>
  </si>
  <si>
    <t>Oct. 21</t>
  </si>
  <si>
    <t>Argentine exports</t>
  </si>
  <si>
    <t>U.S. exports</t>
  </si>
  <si>
    <t>U.S., FOB, Gulf</t>
  </si>
  <si>
    <t>Argentina, FOB, Up River</t>
  </si>
  <si>
    <t>Date</t>
  </si>
  <si>
    <t>Rest of world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</si>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</sst>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#,##0.000_);\(#,##0.000\)"/>
    <numFmt numFmtId="176" formatCode="#,##0.000"/>
    <numFmt numFmtId="177" formatCode="#,##0.0000_);\(#,##0.0000\)"/>
    <numFmt numFmtId="178" formatCode="0.000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9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41" fillId="0" borderId="0"/>
    <xf numFmtId="0" fontId="26" fillId="0" borderId="0"/>
    <xf numFmtId="0" fontId="25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4" fontId="27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28" fillId="0" borderId="0" xfId="8"/>
    <xf numFmtId="0" fontId="29" fillId="0" borderId="0" xfId="8" applyFont="1"/>
    <xf numFmtId="0" fontId="34" fillId="0" borderId="0" xfId="8" applyFont="1"/>
    <xf numFmtId="0" fontId="35" fillId="0" borderId="0" xfId="8" applyFont="1"/>
    <xf numFmtId="169" fontId="36" fillId="0" borderId="0" xfId="1" applyNumberFormat="1" applyFont="1" applyFill="1" applyBorder="1" applyAlignment="1">
      <alignment horizontal="center"/>
    </xf>
    <xf numFmtId="169" fontId="36" fillId="0" borderId="0" xfId="1" applyNumberFormat="1" applyFont="1" applyFill="1" applyBorder="1" applyAlignment="1">
      <alignment horizontal="right" indent="1"/>
    </xf>
    <xf numFmtId="0" fontId="42" fillId="0" borderId="0" xfId="7" applyFont="1" applyAlignment="1">
      <alignment horizontal="left"/>
    </xf>
    <xf numFmtId="0" fontId="43" fillId="0" borderId="0" xfId="5" applyFont="1" applyAlignment="1" applyProtection="1"/>
    <xf numFmtId="14" fontId="42" fillId="0" borderId="0" xfId="7" applyNumberFormat="1" applyFont="1" applyAlignment="1">
      <alignment horizontal="left"/>
    </xf>
    <xf numFmtId="0" fontId="43" fillId="0" borderId="0" xfId="4" applyFont="1" applyAlignment="1" applyProtection="1"/>
    <xf numFmtId="0" fontId="36" fillId="0" borderId="0" xfId="7" quotePrefix="1" applyFont="1" applyAlignment="1">
      <alignment horizontal="left"/>
    </xf>
    <xf numFmtId="0" fontId="36" fillId="0" borderId="0" xfId="8" applyFont="1" applyAlignment="1">
      <alignment wrapText="1"/>
    </xf>
    <xf numFmtId="169" fontId="36" fillId="0" borderId="0" xfId="1" applyNumberFormat="1" applyFont="1" applyFill="1" applyBorder="1" applyAlignment="1">
      <alignment horizontal="right"/>
    </xf>
    <xf numFmtId="2" fontId="36" fillId="0" borderId="1" xfId="0" applyNumberFormat="1" applyFont="1" applyBorder="1" applyAlignment="1">
      <alignment horizontal="right" indent="2"/>
    </xf>
    <xf numFmtId="0" fontId="36" fillId="0" borderId="1" xfId="0" applyFont="1" applyBorder="1"/>
    <xf numFmtId="0" fontId="36" fillId="0" borderId="0" xfId="0" applyFont="1"/>
    <xf numFmtId="0" fontId="36" fillId="0" borderId="2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0" fillId="0" borderId="2" xfId="0" applyBorder="1"/>
    <xf numFmtId="0" fontId="36" fillId="0" borderId="2" xfId="0" applyFont="1" applyBorder="1" applyAlignment="1">
      <alignment horizontal="left"/>
    </xf>
    <xf numFmtId="0" fontId="36" fillId="0" borderId="0" xfId="0" applyFont="1" applyAlignment="1">
      <alignment horizontal="right"/>
    </xf>
    <xf numFmtId="16" fontId="36" fillId="0" borderId="1" xfId="0" quotePrefix="1" applyNumberFormat="1" applyFont="1" applyBorder="1"/>
    <xf numFmtId="16" fontId="36" fillId="0" borderId="1" xfId="0" applyNumberFormat="1" applyFont="1" applyBorder="1"/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right"/>
    </xf>
    <xf numFmtId="0" fontId="36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37" fillId="0" borderId="3" xfId="0" quotePrefix="1" applyFont="1" applyBorder="1" applyAlignment="1">
      <alignment horizontal="center"/>
    </xf>
    <xf numFmtId="0" fontId="37" fillId="0" borderId="0" xfId="0" quotePrefix="1" applyFont="1" applyAlignment="1">
      <alignment horizontal="right"/>
    </xf>
    <xf numFmtId="167" fontId="36" fillId="0" borderId="0" xfId="0" applyNumberFormat="1" applyFont="1" applyAlignment="1">
      <alignment horizontal="center"/>
    </xf>
    <xf numFmtId="165" fontId="36" fillId="0" borderId="0" xfId="1" applyNumberFormat="1" applyFont="1" applyFill="1" applyAlignment="1">
      <alignment horizontal="left"/>
    </xf>
    <xf numFmtId="165" fontId="36" fillId="0" borderId="0" xfId="1" applyNumberFormat="1" applyFont="1" applyFill="1" applyAlignment="1">
      <alignment horizontal="center"/>
    </xf>
    <xf numFmtId="3" fontId="36" fillId="0" borderId="0" xfId="1" applyNumberFormat="1" applyFont="1" applyFill="1" applyBorder="1" applyAlignment="1">
      <alignment horizontal="right" indent="1"/>
    </xf>
    <xf numFmtId="164" fontId="36" fillId="0" borderId="0" xfId="1" applyNumberFormat="1" applyFont="1" applyFill="1" applyBorder="1"/>
    <xf numFmtId="164" fontId="36" fillId="0" borderId="0" xfId="1" applyNumberFormat="1" applyFont="1" applyFill="1" applyBorder="1" applyAlignment="1">
      <alignment horizontal="right"/>
    </xf>
    <xf numFmtId="0" fontId="42" fillId="0" borderId="0" xfId="0" applyFont="1"/>
    <xf numFmtId="169" fontId="36" fillId="0" borderId="0" xfId="1" quotePrefix="1" applyNumberFormat="1" applyFont="1" applyFill="1" applyBorder="1" applyAlignment="1">
      <alignment horizontal="right"/>
    </xf>
    <xf numFmtId="164" fontId="36" fillId="0" borderId="0" xfId="1" applyNumberFormat="1" applyFont="1" applyFill="1" applyBorder="1" applyAlignment="1">
      <alignment horizontal="center"/>
    </xf>
    <xf numFmtId="164" fontId="36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9" fontId="36" fillId="0" borderId="1" xfId="1" applyNumberFormat="1" applyFont="1" applyFill="1" applyBorder="1" applyAlignment="1">
      <alignment horizontal="right" indent="1"/>
    </xf>
    <xf numFmtId="164" fontId="36" fillId="0" borderId="0" xfId="1" applyNumberFormat="1" applyFont="1" applyFill="1"/>
    <xf numFmtId="14" fontId="36" fillId="0" borderId="0" xfId="0" applyNumberFormat="1" applyFont="1" applyAlignment="1">
      <alignment horizontal="left"/>
    </xf>
    <xf numFmtId="3" fontId="36" fillId="0" borderId="0" xfId="1" applyNumberFormat="1" applyFont="1" applyFill="1" applyAlignment="1">
      <alignment horizontal="right" indent="2"/>
    </xf>
    <xf numFmtId="3" fontId="36" fillId="0" borderId="0" xfId="1" applyNumberFormat="1" applyFont="1" applyFill="1" applyAlignment="1">
      <alignment horizontal="right" indent="1"/>
    </xf>
    <xf numFmtId="3" fontId="36" fillId="0" borderId="0" xfId="1" applyNumberFormat="1" applyFont="1" applyFill="1" applyAlignment="1">
      <alignment horizontal="center"/>
    </xf>
    <xf numFmtId="169" fontId="36" fillId="0" borderId="0" xfId="1" applyNumberFormat="1" applyFont="1" applyFill="1" applyBorder="1" applyAlignment="1">
      <alignment horizontal="right" indent="2"/>
    </xf>
    <xf numFmtId="169" fontId="36" fillId="0" borderId="1" xfId="1" applyNumberFormat="1" applyFont="1" applyFill="1" applyBorder="1" applyAlignment="1">
      <alignment horizontal="right" indent="2"/>
    </xf>
    <xf numFmtId="0" fontId="38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36" fillId="0" borderId="1" xfId="1" applyNumberFormat="1" applyFont="1" applyFill="1" applyBorder="1" applyAlignment="1">
      <alignment horizontal="center"/>
    </xf>
    <xf numFmtId="165" fontId="36" fillId="0" borderId="1" xfId="1" applyNumberFormat="1" applyFont="1" applyFill="1" applyBorder="1" applyAlignment="1">
      <alignment horizontal="right"/>
    </xf>
    <xf numFmtId="16" fontId="36" fillId="0" borderId="0" xfId="0" applyNumberFormat="1" applyFont="1"/>
    <xf numFmtId="0" fontId="37" fillId="0" borderId="0" xfId="0" applyFont="1" applyAlignment="1">
      <alignment horizontal="center"/>
    </xf>
    <xf numFmtId="2" fontId="36" fillId="0" borderId="0" xfId="0" applyNumberFormat="1" applyFont="1" applyAlignment="1">
      <alignment horizontal="right" indent="2"/>
    </xf>
    <xf numFmtId="170" fontId="36" fillId="0" borderId="0" xfId="0" applyNumberFormat="1" applyFont="1"/>
    <xf numFmtId="43" fontId="36" fillId="0" borderId="0" xfId="1" quotePrefix="1" applyFont="1" applyFill="1" applyBorder="1" applyAlignment="1">
      <alignment horizontal="center"/>
    </xf>
    <xf numFmtId="166" fontId="36" fillId="0" borderId="0" xfId="1" quotePrefix="1" applyNumberFormat="1" applyFont="1" applyFill="1" applyBorder="1" applyAlignment="1">
      <alignment horizontal="center"/>
    </xf>
    <xf numFmtId="43" fontId="36" fillId="0" borderId="0" xfId="1" applyFont="1" applyFill="1" applyBorder="1" applyAlignment="1">
      <alignment horizontal="center"/>
    </xf>
    <xf numFmtId="0" fontId="42" fillId="0" borderId="0" xfId="0" quotePrefix="1" applyFo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indent="1"/>
    </xf>
    <xf numFmtId="0" fontId="36" fillId="0" borderId="3" xfId="0" applyFont="1" applyBorder="1" applyAlignment="1">
      <alignment horizontal="center"/>
    </xf>
    <xf numFmtId="0" fontId="36" fillId="0" borderId="1" xfId="0" applyFont="1" applyBorder="1" applyAlignment="1">
      <alignment horizontal="left"/>
    </xf>
    <xf numFmtId="0" fontId="37" fillId="0" borderId="3" xfId="0" quotePrefix="1" applyFont="1" applyBorder="1"/>
    <xf numFmtId="0" fontId="37" fillId="0" borderId="3" xfId="0" applyFont="1" applyBorder="1"/>
    <xf numFmtId="43" fontId="36" fillId="0" borderId="0" xfId="1" applyFont="1" applyFill="1" applyBorder="1"/>
    <xf numFmtId="2" fontId="36" fillId="0" borderId="0" xfId="0" applyNumberFormat="1" applyFont="1" applyAlignment="1">
      <alignment horizontal="center"/>
    </xf>
    <xf numFmtId="43" fontId="36" fillId="0" borderId="0" xfId="0" applyNumberFormat="1" applyFont="1"/>
    <xf numFmtId="0" fontId="31" fillId="0" borderId="0" xfId="0" applyFont="1"/>
    <xf numFmtId="2" fontId="0" fillId="0" borderId="0" xfId="0" applyNumberFormat="1"/>
    <xf numFmtId="165" fontId="36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40" fillId="0" borderId="0" xfId="0" applyFont="1" applyAlignment="1">
      <alignment vertical="center"/>
    </xf>
    <xf numFmtId="168" fontId="36" fillId="0" borderId="0" xfId="0" applyNumberFormat="1" applyFont="1"/>
    <xf numFmtId="2" fontId="36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36" fillId="0" borderId="3" xfId="0" applyFont="1" applyBorder="1"/>
    <xf numFmtId="165" fontId="36" fillId="0" borderId="0" xfId="1" applyNumberFormat="1" applyFont="1" applyFill="1"/>
    <xf numFmtId="37" fontId="36" fillId="0" borderId="0" xfId="1" applyNumberFormat="1" applyFont="1" applyFill="1" applyBorder="1" applyAlignment="1">
      <alignment horizontal="center"/>
    </xf>
    <xf numFmtId="37" fontId="36" fillId="0" borderId="0" xfId="1" applyNumberFormat="1" applyFont="1" applyFill="1" applyBorder="1" applyAlignment="1">
      <alignment horizontal="right" indent="2"/>
    </xf>
    <xf numFmtId="165" fontId="36" fillId="0" borderId="0" xfId="1" applyNumberFormat="1" applyFont="1" applyFill="1" applyBorder="1"/>
    <xf numFmtId="37" fontId="36" fillId="0" borderId="0" xfId="1" applyNumberFormat="1" applyFont="1" applyFill="1" applyBorder="1" applyAlignment="1">
      <alignment horizontal="right" indent="1"/>
    </xf>
    <xf numFmtId="37" fontId="36" fillId="0" borderId="1" xfId="1" applyNumberFormat="1" applyFont="1" applyFill="1" applyBorder="1" applyAlignment="1">
      <alignment horizontal="center"/>
    </xf>
    <xf numFmtId="37" fontId="36" fillId="0" borderId="1" xfId="1" applyNumberFormat="1" applyFont="1" applyFill="1" applyBorder="1" applyAlignment="1">
      <alignment horizontal="right" indent="2"/>
    </xf>
    <xf numFmtId="165" fontId="36" fillId="0" borderId="1" xfId="1" applyNumberFormat="1" applyFont="1" applyFill="1" applyBorder="1"/>
    <xf numFmtId="37" fontId="36" fillId="0" borderId="1" xfId="1" applyNumberFormat="1" applyFont="1" applyFill="1" applyBorder="1" applyAlignment="1">
      <alignment horizontal="right" indent="1"/>
    </xf>
    <xf numFmtId="9" fontId="36" fillId="0" borderId="0" xfId="12" applyFont="1" applyFill="1"/>
    <xf numFmtId="1" fontId="36" fillId="0" borderId="0" xfId="0" applyNumberFormat="1" applyFont="1" applyAlignment="1">
      <alignment horizontal="center"/>
    </xf>
    <xf numFmtId="1" fontId="36" fillId="0" borderId="1" xfId="0" applyNumberFormat="1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14" fontId="36" fillId="0" borderId="0" xfId="0" applyNumberFormat="1" applyFont="1" applyAlignment="1">
      <alignment horizontal="right" inden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3" fontId="0" fillId="0" borderId="0" xfId="0" applyNumberFormat="1"/>
    <xf numFmtId="169" fontId="36" fillId="0" borderId="0" xfId="1" applyNumberFormat="1" applyFont="1" applyFill="1" applyAlignment="1">
      <alignment horizontal="center"/>
    </xf>
    <xf numFmtId="0" fontId="38" fillId="0" borderId="3" xfId="0" applyFont="1" applyBorder="1"/>
    <xf numFmtId="164" fontId="36" fillId="0" borderId="3" xfId="0" applyNumberFormat="1" applyFont="1" applyBorder="1"/>
    <xf numFmtId="43" fontId="36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0" fontId="27" fillId="0" borderId="0" xfId="8" applyFont="1"/>
    <xf numFmtId="0" fontId="27" fillId="0" borderId="0" xfId="0" applyFont="1"/>
    <xf numFmtId="4" fontId="45" fillId="0" borderId="0" xfId="0" applyNumberFormat="1" applyFont="1"/>
    <xf numFmtId="0" fontId="27" fillId="0" borderId="0" xfId="0" applyFont="1" applyAlignment="1">
      <alignment horizontal="right"/>
    </xf>
    <xf numFmtId="2" fontId="27" fillId="0" borderId="0" xfId="0" applyNumberFormat="1" applyFont="1" applyAlignment="1">
      <alignment horizontal="right"/>
    </xf>
    <xf numFmtId="172" fontId="31" fillId="0" borderId="0" xfId="12" applyNumberFormat="1" applyFont="1" applyFill="1"/>
    <xf numFmtId="4" fontId="0" fillId="0" borderId="0" xfId="0" applyNumberFormat="1"/>
    <xf numFmtId="169" fontId="36" fillId="0" borderId="0" xfId="1" applyNumberFormat="1" applyFont="1" applyBorder="1" applyAlignment="1">
      <alignment horizontal="right" indent="1"/>
    </xf>
    <xf numFmtId="0" fontId="27" fillId="0" borderId="0" xfId="20"/>
    <xf numFmtId="37" fontId="0" fillId="0" borderId="0" xfId="0" applyNumberFormat="1"/>
    <xf numFmtId="173" fontId="45" fillId="0" borderId="0" xfId="0" applyNumberFormat="1" applyFont="1"/>
    <xf numFmtId="174" fontId="36" fillId="0" borderId="0" xfId="1" applyNumberFormat="1" applyFont="1" applyFill="1" applyBorder="1" applyAlignment="1">
      <alignment horizontal="right" indent="2"/>
    </xf>
    <xf numFmtId="0" fontId="46" fillId="0" borderId="0" xfId="44" applyFont="1" applyAlignment="1">
      <alignment horizontal="center"/>
    </xf>
    <xf numFmtId="164" fontId="36" fillId="2" borderId="0" xfId="1" applyNumberFormat="1" applyFont="1" applyFill="1" applyBorder="1" applyAlignment="1">
      <alignment horizontal="center"/>
    </xf>
    <xf numFmtId="0" fontId="47" fillId="0" borderId="1" xfId="46" applyFont="1" applyBorder="1" applyAlignment="1">
      <alignment horizontal="center" wrapText="1"/>
    </xf>
    <xf numFmtId="0" fontId="46" fillId="0" borderId="0" xfId="46" applyFont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44" fillId="0" borderId="0" xfId="0" applyNumberFormat="1" applyFont="1" applyAlignment="1">
      <alignment horizontal="center"/>
    </xf>
    <xf numFmtId="2" fontId="44" fillId="0" borderId="1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46" fillId="0" borderId="0" xfId="46" applyFont="1" applyAlignment="1">
      <alignment horizontal="center" wrapText="1"/>
    </xf>
    <xf numFmtId="0" fontId="49" fillId="0" borderId="0" xfId="0" applyFont="1"/>
    <xf numFmtId="174" fontId="48" fillId="0" borderId="0" xfId="1" applyNumberFormat="1" applyFont="1" applyFill="1" applyAlignment="1">
      <alignment horizontal="right"/>
    </xf>
    <xf numFmtId="2" fontId="44" fillId="0" borderId="0" xfId="0" applyNumberFormat="1" applyFont="1" applyAlignment="1">
      <alignment horizontal="right" indent="2"/>
    </xf>
    <xf numFmtId="0" fontId="0" fillId="0" borderId="0" xfId="20" applyFont="1"/>
    <xf numFmtId="39" fontId="48" fillId="0" borderId="0" xfId="1" applyNumberFormat="1" applyFont="1" applyFill="1" applyAlignment="1">
      <alignment horizontal="right"/>
    </xf>
    <xf numFmtId="39" fontId="27" fillId="0" borderId="0" xfId="20" applyNumberFormat="1"/>
    <xf numFmtId="0" fontId="0" fillId="0" borderId="0" xfId="0" quotePrefix="1"/>
    <xf numFmtId="0" fontId="34" fillId="0" borderId="0" xfId="20" applyFont="1" applyAlignment="1">
      <alignment wrapText="1"/>
    </xf>
    <xf numFmtId="14" fontId="0" fillId="0" borderId="0" xfId="20" applyNumberFormat="1" applyFont="1"/>
    <xf numFmtId="3" fontId="0" fillId="0" borderId="0" xfId="20" applyNumberFormat="1" applyFont="1" applyAlignment="1">
      <alignment horizontal="left"/>
    </xf>
    <xf numFmtId="165" fontId="0" fillId="0" borderId="0" xfId="20" applyNumberFormat="1" applyFont="1"/>
    <xf numFmtId="14" fontId="0" fillId="0" borderId="0" xfId="20" applyNumberFormat="1" applyFont="1" applyAlignment="1">
      <alignment horizontal="right"/>
    </xf>
    <xf numFmtId="169" fontId="44" fillId="0" borderId="0" xfId="1" applyNumberFormat="1" applyFont="1" applyFill="1" applyBorder="1" applyAlignment="1">
      <alignment horizontal="right"/>
    </xf>
    <xf numFmtId="0" fontId="34" fillId="0" borderId="0" xfId="20" applyFont="1"/>
    <xf numFmtId="39" fontId="48" fillId="0" borderId="0" xfId="1" applyNumberFormat="1" applyFont="1" applyFill="1" applyBorder="1" applyAlignment="1">
      <alignment horizontal="right"/>
    </xf>
    <xf numFmtId="175" fontId="27" fillId="0" borderId="0" xfId="20" applyNumberFormat="1"/>
    <xf numFmtId="170" fontId="0" fillId="0" borderId="0" xfId="0" applyNumberFormat="1"/>
    <xf numFmtId="176" fontId="45" fillId="0" borderId="0" xfId="0" applyNumberFormat="1" applyFont="1"/>
    <xf numFmtId="37" fontId="48" fillId="0" borderId="0" xfId="1" applyNumberFormat="1" applyFont="1" applyFill="1"/>
    <xf numFmtId="37" fontId="27" fillId="0" borderId="0" xfId="20" applyNumberFormat="1"/>
    <xf numFmtId="0" fontId="34" fillId="0" borderId="1" xfId="20" applyFont="1" applyBorder="1" applyAlignment="1">
      <alignment wrapText="1"/>
    </xf>
    <xf numFmtId="165" fontId="0" fillId="0" borderId="0" xfId="0" applyNumberFormat="1"/>
    <xf numFmtId="37" fontId="36" fillId="0" borderId="0" xfId="0" applyNumberFormat="1" applyFont="1" applyAlignment="1">
      <alignment vertical="center" wrapText="1"/>
    </xf>
    <xf numFmtId="0" fontId="27" fillId="0" borderId="0" xfId="0" quotePrefix="1" applyFont="1"/>
    <xf numFmtId="0" fontId="34" fillId="0" borderId="1" xfId="20" applyFont="1" applyBorder="1" applyAlignment="1">
      <alignment horizontal="left" wrapText="1"/>
    </xf>
    <xf numFmtId="177" fontId="48" fillId="0" borderId="0" xfId="1" applyNumberFormat="1" applyFont="1" applyFill="1" applyAlignment="1">
      <alignment horizontal="right"/>
    </xf>
    <xf numFmtId="3" fontId="27" fillId="0" borderId="0" xfId="20" applyNumberFormat="1"/>
    <xf numFmtId="16" fontId="27" fillId="0" borderId="0" xfId="20" quotePrefix="1" applyNumberFormat="1"/>
    <xf numFmtId="0" fontId="27" fillId="0" borderId="0" xfId="20" quotePrefix="1"/>
    <xf numFmtId="178" fontId="0" fillId="0" borderId="0" xfId="0" applyNumberFormat="1"/>
    <xf numFmtId="174" fontId="48" fillId="0" borderId="0" xfId="1" applyNumberFormat="1" applyFont="1" applyFill="1"/>
    <xf numFmtId="174" fontId="27" fillId="0" borderId="0" xfId="20" applyNumberFormat="1"/>
    <xf numFmtId="165" fontId="27" fillId="0" borderId="0" xfId="1" applyNumberFormat="1"/>
    <xf numFmtId="165" fontId="48" fillId="0" borderId="0" xfId="1" applyNumberFormat="1" applyFont="1" applyFill="1" applyAlignment="1">
      <alignment horizontal="right"/>
    </xf>
    <xf numFmtId="165" fontId="48" fillId="0" borderId="0" xfId="1" applyNumberFormat="1" applyFont="1" applyFill="1" applyBorder="1" applyAlignment="1">
      <alignment horizontal="right"/>
    </xf>
    <xf numFmtId="167" fontId="48" fillId="0" borderId="0" xfId="12" applyNumberFormat="1" applyFont="1" applyFill="1" applyAlignment="1">
      <alignment horizontal="right"/>
    </xf>
    <xf numFmtId="0" fontId="36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2" xfId="0" quotePrefix="1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5" xfId="0" quotePrefix="1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5" xfId="0" applyFont="1" applyBorder="1" applyAlignment="1">
      <alignment horizontal="center"/>
    </xf>
  </cellXfs>
  <cellStyles count="66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3" xfId="61" xr:uid="{66B0EFF1-9B5C-4010-8FFD-B7EBF2B47072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0 2" xfId="60" xr:uid="{E126FF74-8F35-46C0-B499-BB9FB7C0492D}"/>
    <cellStyle name="Normal 11" xfId="29" xr:uid="{4B9E3B86-F018-48E8-A1B7-B09DE503DA20}"/>
    <cellStyle name="Normal 11 10" xfId="48" xr:uid="{B0B7CAAA-7091-450F-85C9-52BED8D28969}"/>
    <cellStyle name="Normal 11 11" xfId="62" xr:uid="{E3FE90C6-7CCC-48DA-835F-769A18F811F8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3" xfId="32" xr:uid="{5440E113-77DF-4DAD-9026-4858CCB03DB9}"/>
    <cellStyle name="Normal 11 3 2" xfId="43" xr:uid="{8321DB1C-E877-443D-8A22-A2E591665B83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4" xfId="46" xr:uid="{8BEB9B88-2ECA-4F90-BDBA-C56B823B5754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9" xfId="25" xr:uid="{AF562AB2-2E7D-4C04-814F-6AC30A92CE3A}"/>
    <cellStyle name="Normal 9 2" xfId="58" xr:uid="{9E080DFC-9773-4552-A43C-01793D50B659}"/>
    <cellStyle name="Percent" xfId="12" builtinId="5"/>
  </cellStyles>
  <dxfs count="0"/>
  <tableStyles count="0" defaultTableStyle="TableStyleMedium9" defaultPivotStyle="PivotStyleLight16"/>
  <colors>
    <mruColors>
      <color rgb="FFFFFF00"/>
      <color rgb="FFFA6400"/>
      <color rgb="FF00B050"/>
      <color rgb="FF984807"/>
      <color rgb="FF95B3D7"/>
      <color rgb="FFC0504D"/>
      <color rgb="FFC0502F"/>
      <color rgb="FFD99694"/>
      <color rgb="FFFFCF0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Global soybean ending stocks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4.3992938382702157E-3"/>
          <c:y val="2.29265406572379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6607299087614"/>
          <c:y val="0.17628667233929823"/>
          <c:w val="0.83489876265466811"/>
          <c:h val="0.51544326743329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  <c:pt idx="11">
                  <c:v>2023/24*</c:v>
                </c:pt>
              </c:strCache>
            </c:strRef>
          </c:cat>
          <c:val>
            <c:numRef>
              <c:f>'Figure 1'!$B$2:$B$13</c:f>
              <c:numCache>
                <c:formatCode>#,##0.0_);\(#,##0.0\)</c:formatCode>
                <c:ptCount val="12"/>
                <c:pt idx="0">
                  <c:v>17.291</c:v>
                </c:pt>
                <c:pt idx="1">
                  <c:v>21.677</c:v>
                </c:pt>
                <c:pt idx="2">
                  <c:v>27.068999999999999</c:v>
                </c:pt>
                <c:pt idx="3">
                  <c:v>27.155999999999999</c:v>
                </c:pt>
                <c:pt idx="4">
                  <c:v>26.995999999999999</c:v>
                </c:pt>
                <c:pt idx="5">
                  <c:v>23.734000000000002</c:v>
                </c:pt>
                <c:pt idx="6">
                  <c:v>28.89</c:v>
                </c:pt>
                <c:pt idx="7">
                  <c:v>26.65</c:v>
                </c:pt>
                <c:pt idx="8">
                  <c:v>25.06</c:v>
                </c:pt>
                <c:pt idx="9">
                  <c:v>23.902999999999999</c:v>
                </c:pt>
                <c:pt idx="10">
                  <c:v>17.553000000000001</c:v>
                </c:pt>
                <c:pt idx="11">
                  <c:v>23.952999999999999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4-4A7C-A1EF-85C83F859EA4}"/>
            </c:ext>
          </c:extLst>
        </c:ser>
        <c:ser>
          <c:idx val="5"/>
          <c:order val="1"/>
          <c:tx>
            <c:strRef>
              <c:f>'Figure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1'!$A$2:$A$13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  <c:pt idx="11">
                  <c:v>2023/24*</c:v>
                </c:pt>
              </c:strCache>
            </c:strRef>
          </c:cat>
          <c:val>
            <c:numRef>
              <c:f>'Figure 1'!$C$2:$C$13</c:f>
              <c:numCache>
                <c:formatCode>#,##0.0_);\(#,##0.0\)</c:formatCode>
                <c:ptCount val="12"/>
                <c:pt idx="0">
                  <c:v>20.225000000000001</c:v>
                </c:pt>
                <c:pt idx="1">
                  <c:v>20.79</c:v>
                </c:pt>
                <c:pt idx="2">
                  <c:v>24.498000000000001</c:v>
                </c:pt>
                <c:pt idx="3">
                  <c:v>23.803000000000001</c:v>
                </c:pt>
                <c:pt idx="4">
                  <c:v>32.631999999999998</c:v>
                </c:pt>
                <c:pt idx="5">
                  <c:v>33.030999999999999</c:v>
                </c:pt>
                <c:pt idx="6">
                  <c:v>33.341999999999999</c:v>
                </c:pt>
                <c:pt idx="7">
                  <c:v>20.419</c:v>
                </c:pt>
                <c:pt idx="8">
                  <c:v>29.579000000000001</c:v>
                </c:pt>
                <c:pt idx="9">
                  <c:v>27.597999999999999</c:v>
                </c:pt>
                <c:pt idx="10">
                  <c:v>33.548000000000002</c:v>
                </c:pt>
                <c:pt idx="11">
                  <c:v>40.798000000000002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44-4A7C-A1EF-85C83F859EA4}"/>
            </c:ext>
          </c:extLst>
        </c:ser>
        <c:ser>
          <c:idx val="0"/>
          <c:order val="2"/>
          <c:tx>
            <c:strRef>
              <c:f>'Figure 1'!$D$1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38100">
              <a:noFill/>
            </a:ln>
            <a:effectLst/>
          </c:spPr>
          <c:invertIfNegative val="0"/>
          <c:cat>
            <c:strRef>
              <c:f>'Figure 1'!$A$2:$A$13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  <c:pt idx="11">
                  <c:v>2023/24*</c:v>
                </c:pt>
              </c:strCache>
            </c:strRef>
          </c:cat>
          <c:val>
            <c:numRef>
              <c:f>'Figure 1'!$D$2:$D$13</c:f>
              <c:numCache>
                <c:formatCode>#,##0.0_);\(#,##0.0\)</c:formatCode>
                <c:ptCount val="12"/>
                <c:pt idx="0">
                  <c:v>12.411</c:v>
                </c:pt>
                <c:pt idx="1">
                  <c:v>13.967000000000001</c:v>
                </c:pt>
                <c:pt idx="2">
                  <c:v>17.059999999999999</c:v>
                </c:pt>
                <c:pt idx="3">
                  <c:v>16.643000000000001</c:v>
                </c:pt>
                <c:pt idx="4">
                  <c:v>20.12</c:v>
                </c:pt>
                <c:pt idx="5">
                  <c:v>22.562000000000001</c:v>
                </c:pt>
                <c:pt idx="6">
                  <c:v>18.350000000000001</c:v>
                </c:pt>
                <c:pt idx="7">
                  <c:v>24.484000000000002</c:v>
                </c:pt>
                <c:pt idx="8">
                  <c:v>30.856000000000002</c:v>
                </c:pt>
                <c:pt idx="9">
                  <c:v>30.315000000000001</c:v>
                </c:pt>
                <c:pt idx="10">
                  <c:v>35.795000000000002</c:v>
                </c:pt>
                <c:pt idx="11">
                  <c:v>38.195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4-4A7C-A1EF-85C83F859EA4}"/>
            </c:ext>
          </c:extLst>
        </c:ser>
        <c:ser>
          <c:idx val="3"/>
          <c:order val="3"/>
          <c:tx>
            <c:strRef>
              <c:f>'Figure 1'!$E$1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'Figure 1'!$A$2:$A$13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  <c:pt idx="11">
                  <c:v>2023/24*</c:v>
                </c:pt>
              </c:strCache>
            </c:strRef>
          </c:cat>
          <c:val>
            <c:numRef>
              <c:f>'Figure 1'!$E$2:$E$13</c:f>
              <c:numCache>
                <c:formatCode>#,##0.0_);\(#,##0.0\)</c:formatCode>
                <c:ptCount val="12"/>
                <c:pt idx="0">
                  <c:v>3.8250000000000002</c:v>
                </c:pt>
                <c:pt idx="1">
                  <c:v>2.504</c:v>
                </c:pt>
                <c:pt idx="2">
                  <c:v>5.1879999999999997</c:v>
                </c:pt>
                <c:pt idx="3">
                  <c:v>5.3540000000000001</c:v>
                </c:pt>
                <c:pt idx="4">
                  <c:v>8.2080000000000002</c:v>
                </c:pt>
                <c:pt idx="5">
                  <c:v>11.923</c:v>
                </c:pt>
                <c:pt idx="6">
                  <c:v>24.74</c:v>
                </c:pt>
                <c:pt idx="7">
                  <c:v>14.276</c:v>
                </c:pt>
                <c:pt idx="8">
                  <c:v>6.9939999999999998</c:v>
                </c:pt>
                <c:pt idx="9">
                  <c:v>7.468</c:v>
                </c:pt>
                <c:pt idx="10">
                  <c:v>6.266</c:v>
                </c:pt>
                <c:pt idx="11">
                  <c:v>9.5169999999999995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44-4A7C-A1EF-85C83F859EA4}"/>
            </c:ext>
          </c:extLst>
        </c:ser>
        <c:ser>
          <c:idx val="1"/>
          <c:order val="4"/>
          <c:tx>
            <c:strRef>
              <c:f>'Figure 1'!$F$1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'Figure 1'!$F$2:$F$13</c:f>
              <c:numCache>
                <c:formatCode>#,##0.0_);\(#,##0.0\)</c:formatCode>
                <c:ptCount val="12"/>
                <c:pt idx="0">
                  <c:v>4.6599999999999895</c:v>
                </c:pt>
                <c:pt idx="1">
                  <c:v>5.0680000000000049</c:v>
                </c:pt>
                <c:pt idx="2">
                  <c:v>5.644999999999996</c:v>
                </c:pt>
                <c:pt idx="3">
                  <c:v>6.5150000000000006</c:v>
                </c:pt>
                <c:pt idx="4">
                  <c:v>7.5660000000000025</c:v>
                </c:pt>
                <c:pt idx="5">
                  <c:v>8.3850000000000051</c:v>
                </c:pt>
                <c:pt idx="6">
                  <c:v>8.76400000000001</c:v>
                </c:pt>
                <c:pt idx="7">
                  <c:v>9.14</c:v>
                </c:pt>
                <c:pt idx="8">
                  <c:v>7.5739999999999981</c:v>
                </c:pt>
                <c:pt idx="9">
                  <c:v>9.4439999999999884</c:v>
                </c:pt>
                <c:pt idx="10">
                  <c:v>8.157999999999987</c:v>
                </c:pt>
                <c:pt idx="11">
                  <c:v>10.879000000000005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4-4158-A3DA-C31339F5A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7710036245469317"/>
              <c:y val="0.8250937639926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4684726909136365E-3"/>
              <c:y val="6.85410119699163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569902494072299"/>
          <c:y val="9.7453476391843111E-2"/>
          <c:w val="0.57081193655140938"/>
          <c:h val="5.0997690036946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and Argentine soybean meal exports and prices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566466618635018E-2"/>
          <c:y val="0.21187972826926046"/>
          <c:w val="0.8604161893433051"/>
          <c:h val="0.5463151664865421"/>
        </c:manualLayout>
      </c:layout>
      <c:barChart>
        <c:barDir val="col"/>
        <c:grouping val="clustered"/>
        <c:varyColors val="0"/>
        <c:ser>
          <c:idx val="4"/>
          <c:order val="1"/>
          <c:tx>
            <c:strRef>
              <c:f>'Figure 2'!$E$2</c:f>
              <c:strCache>
                <c:ptCount val="1"/>
                <c:pt idx="0">
                  <c:v>Argentine exports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2'!$A$3:$A$22</c:f>
              <c:strCache>
                <c:ptCount val="20"/>
                <c:pt idx="0">
                  <c:v>Oct. 21</c:v>
                </c:pt>
                <c:pt idx="1">
                  <c:v>Nov. 21</c:v>
                </c:pt>
                <c:pt idx="2">
                  <c:v>Dec. 21</c:v>
                </c:pt>
                <c:pt idx="3">
                  <c:v>Jan. 22</c:v>
                </c:pt>
                <c:pt idx="4">
                  <c:v>Feb. 22</c:v>
                </c:pt>
                <c:pt idx="5">
                  <c:v>Mar. 22</c:v>
                </c:pt>
                <c:pt idx="6">
                  <c:v>Apr. 22</c:v>
                </c:pt>
                <c:pt idx="7">
                  <c:v>May 22</c:v>
                </c:pt>
                <c:pt idx="8">
                  <c:v>Jun. 22</c:v>
                </c:pt>
                <c:pt idx="9">
                  <c:v>Jul. 22</c:v>
                </c:pt>
                <c:pt idx="10">
                  <c:v>Aug. 22</c:v>
                </c:pt>
                <c:pt idx="11">
                  <c:v>Sep. 22</c:v>
                </c:pt>
                <c:pt idx="12">
                  <c:v>Oct. 22</c:v>
                </c:pt>
                <c:pt idx="13">
                  <c:v>Nov. 22</c:v>
                </c:pt>
                <c:pt idx="14">
                  <c:v>Dec. 22</c:v>
                </c:pt>
                <c:pt idx="15">
                  <c:v>Jan. 23</c:v>
                </c:pt>
                <c:pt idx="16">
                  <c:v>Feb. 23</c:v>
                </c:pt>
                <c:pt idx="17">
                  <c:v>Mar. 23</c:v>
                </c:pt>
                <c:pt idx="18">
                  <c:v>Apr. 23</c:v>
                </c:pt>
                <c:pt idx="19">
                  <c:v>May 23</c:v>
                </c:pt>
              </c:strCache>
            </c:strRef>
          </c:cat>
          <c:val>
            <c:numRef>
              <c:f>'Figure 2'!$E$3:$E$22</c:f>
              <c:numCache>
                <c:formatCode>#,##0</c:formatCode>
                <c:ptCount val="20"/>
                <c:pt idx="0">
                  <c:v>2673.9096140062993</c:v>
                </c:pt>
                <c:pt idx="1">
                  <c:v>2255.6927029922995</c:v>
                </c:pt>
                <c:pt idx="2">
                  <c:v>2348.9493421296092</c:v>
                </c:pt>
                <c:pt idx="3">
                  <c:v>1658.6070426385295</c:v>
                </c:pt>
                <c:pt idx="4">
                  <c:v>2175.1181554765394</c:v>
                </c:pt>
                <c:pt idx="5">
                  <c:v>2364.2780832064695</c:v>
                </c:pt>
                <c:pt idx="6">
                  <c:v>3108.8750430644391</c:v>
                </c:pt>
                <c:pt idx="7">
                  <c:v>3003.9956334744893</c:v>
                </c:pt>
                <c:pt idx="8">
                  <c:v>3060.3016951892891</c:v>
                </c:pt>
                <c:pt idx="9">
                  <c:v>2754.3133032690089</c:v>
                </c:pt>
                <c:pt idx="10">
                  <c:v>2010.7811761364997</c:v>
                </c:pt>
                <c:pt idx="11">
                  <c:v>1894.3550555742995</c:v>
                </c:pt>
                <c:pt idx="12">
                  <c:v>2601.7192463143992</c:v>
                </c:pt>
                <c:pt idx="13">
                  <c:v>2707.2302802849795</c:v>
                </c:pt>
                <c:pt idx="14">
                  <c:v>2295.0804907212191</c:v>
                </c:pt>
                <c:pt idx="15">
                  <c:v>1377.5187608998397</c:v>
                </c:pt>
                <c:pt idx="16">
                  <c:v>1153.0958943630096</c:v>
                </c:pt>
                <c:pt idx="17">
                  <c:v>1424.1862125199996</c:v>
                </c:pt>
                <c:pt idx="18">
                  <c:v>2000.0171061943495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0-4C81-A263-2058DF530047}"/>
            </c:ext>
          </c:extLst>
        </c:ser>
        <c:ser>
          <c:idx val="3"/>
          <c:order val="3"/>
          <c:tx>
            <c:strRef>
              <c:f>'Figure 2'!$D$2</c:f>
              <c:strCache>
                <c:ptCount val="1"/>
                <c:pt idx="0">
                  <c:v>U.S. exports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2'!$A$3:$A$22</c:f>
              <c:strCache>
                <c:ptCount val="20"/>
                <c:pt idx="0">
                  <c:v>Oct. 21</c:v>
                </c:pt>
                <c:pt idx="1">
                  <c:v>Nov. 21</c:v>
                </c:pt>
                <c:pt idx="2">
                  <c:v>Dec. 21</c:v>
                </c:pt>
                <c:pt idx="3">
                  <c:v>Jan. 22</c:v>
                </c:pt>
                <c:pt idx="4">
                  <c:v>Feb. 22</c:v>
                </c:pt>
                <c:pt idx="5">
                  <c:v>Mar. 22</c:v>
                </c:pt>
                <c:pt idx="6">
                  <c:v>Apr. 22</c:v>
                </c:pt>
                <c:pt idx="7">
                  <c:v>May 22</c:v>
                </c:pt>
                <c:pt idx="8">
                  <c:v>Jun. 22</c:v>
                </c:pt>
                <c:pt idx="9">
                  <c:v>Jul. 22</c:v>
                </c:pt>
                <c:pt idx="10">
                  <c:v>Aug. 22</c:v>
                </c:pt>
                <c:pt idx="11">
                  <c:v>Sep. 22</c:v>
                </c:pt>
                <c:pt idx="12">
                  <c:v>Oct. 22</c:v>
                </c:pt>
                <c:pt idx="13">
                  <c:v>Nov. 22</c:v>
                </c:pt>
                <c:pt idx="14">
                  <c:v>Dec. 22</c:v>
                </c:pt>
                <c:pt idx="15">
                  <c:v>Jan. 23</c:v>
                </c:pt>
                <c:pt idx="16">
                  <c:v>Feb. 23</c:v>
                </c:pt>
                <c:pt idx="17">
                  <c:v>Mar. 23</c:v>
                </c:pt>
                <c:pt idx="18">
                  <c:v>Apr. 23</c:v>
                </c:pt>
                <c:pt idx="19">
                  <c:v>May 23</c:v>
                </c:pt>
              </c:strCache>
            </c:strRef>
          </c:cat>
          <c:val>
            <c:numRef>
              <c:f>'Figure 2'!$D$3:$D$22</c:f>
              <c:numCache>
                <c:formatCode>#,##0</c:formatCode>
                <c:ptCount val="20"/>
                <c:pt idx="0">
                  <c:v>1090.4516528468407</c:v>
                </c:pt>
                <c:pt idx="1">
                  <c:v>1247.6958100626857</c:v>
                </c:pt>
                <c:pt idx="2">
                  <c:v>1406.3753970664127</c:v>
                </c:pt>
                <c:pt idx="3">
                  <c:v>1298.0246989301415</c:v>
                </c:pt>
                <c:pt idx="4">
                  <c:v>1082.1894988849976</c:v>
                </c:pt>
                <c:pt idx="5">
                  <c:v>1197.3467488982567</c:v>
                </c:pt>
                <c:pt idx="6">
                  <c:v>1185.6514463614185</c:v>
                </c:pt>
                <c:pt idx="7">
                  <c:v>1142.3850660571327</c:v>
                </c:pt>
                <c:pt idx="8">
                  <c:v>1145.4588611450679</c:v>
                </c:pt>
                <c:pt idx="9">
                  <c:v>914.46588850724481</c:v>
                </c:pt>
                <c:pt idx="10">
                  <c:v>912.85486052767976</c:v>
                </c:pt>
                <c:pt idx="11">
                  <c:v>900.9271907666938</c:v>
                </c:pt>
                <c:pt idx="12">
                  <c:v>959.67233671713086</c:v>
                </c:pt>
                <c:pt idx="13">
                  <c:v>1251.8763257058606</c:v>
                </c:pt>
                <c:pt idx="14">
                  <c:v>1317.9473223914265</c:v>
                </c:pt>
                <c:pt idx="15">
                  <c:v>1548.3308271059507</c:v>
                </c:pt>
                <c:pt idx="16">
                  <c:v>1019.8292127622847</c:v>
                </c:pt>
                <c:pt idx="17">
                  <c:v>1472.8462020641157</c:v>
                </c:pt>
                <c:pt idx="18">
                  <c:v>1244.123880493762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C81-A263-2058DF530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lineChart>
        <c:grouping val="standard"/>
        <c:varyColors val="0"/>
        <c:ser>
          <c:idx val="0"/>
          <c:order val="0"/>
          <c:tx>
            <c:strRef>
              <c:f>'Figure 2'!$B$2</c:f>
              <c:strCache>
                <c:ptCount val="1"/>
                <c:pt idx="0">
                  <c:v>Argentina, FOB, Up River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2'!$A$3:$A$22</c:f>
              <c:strCache>
                <c:ptCount val="20"/>
                <c:pt idx="0">
                  <c:v>Oct. 21</c:v>
                </c:pt>
                <c:pt idx="1">
                  <c:v>Nov. 21</c:v>
                </c:pt>
                <c:pt idx="2">
                  <c:v>Dec. 21</c:v>
                </c:pt>
                <c:pt idx="3">
                  <c:v>Jan. 22</c:v>
                </c:pt>
                <c:pt idx="4">
                  <c:v>Feb. 22</c:v>
                </c:pt>
                <c:pt idx="5">
                  <c:v>Mar. 22</c:v>
                </c:pt>
                <c:pt idx="6">
                  <c:v>Apr. 22</c:v>
                </c:pt>
                <c:pt idx="7">
                  <c:v>May 22</c:v>
                </c:pt>
                <c:pt idx="8">
                  <c:v>Jun. 22</c:v>
                </c:pt>
                <c:pt idx="9">
                  <c:v>Jul. 22</c:v>
                </c:pt>
                <c:pt idx="10">
                  <c:v>Aug. 22</c:v>
                </c:pt>
                <c:pt idx="11">
                  <c:v>Sep. 22</c:v>
                </c:pt>
                <c:pt idx="12">
                  <c:v>Oct. 22</c:v>
                </c:pt>
                <c:pt idx="13">
                  <c:v>Nov. 22</c:v>
                </c:pt>
                <c:pt idx="14">
                  <c:v>Dec. 22</c:v>
                </c:pt>
                <c:pt idx="15">
                  <c:v>Jan. 23</c:v>
                </c:pt>
                <c:pt idx="16">
                  <c:v>Feb. 23</c:v>
                </c:pt>
                <c:pt idx="17">
                  <c:v>Mar. 23</c:v>
                </c:pt>
                <c:pt idx="18">
                  <c:v>Apr. 23</c:v>
                </c:pt>
                <c:pt idx="19">
                  <c:v>May 23</c:v>
                </c:pt>
              </c:strCache>
            </c:strRef>
          </c:cat>
          <c:val>
            <c:numRef>
              <c:f>'Figure 2'!$B$3:$B$22</c:f>
              <c:numCache>
                <c:formatCode>#,##0</c:formatCode>
                <c:ptCount val="20"/>
                <c:pt idx="0">
                  <c:v>386.52380952380952</c:v>
                </c:pt>
                <c:pt idx="1">
                  <c:v>392.86363636363637</c:v>
                </c:pt>
                <c:pt idx="2">
                  <c:v>425.17391304347825</c:v>
                </c:pt>
                <c:pt idx="3">
                  <c:v>464.61904761904759</c:v>
                </c:pt>
                <c:pt idx="4">
                  <c:v>505.15</c:v>
                </c:pt>
                <c:pt idx="5">
                  <c:v>547.695652173913</c:v>
                </c:pt>
                <c:pt idx="6">
                  <c:v>515.71428571428567</c:v>
                </c:pt>
                <c:pt idx="7">
                  <c:v>473.04545454545456</c:v>
                </c:pt>
                <c:pt idx="8">
                  <c:v>476</c:v>
                </c:pt>
                <c:pt idx="9">
                  <c:v>486.09523809523807</c:v>
                </c:pt>
                <c:pt idx="10">
                  <c:v>488.95652173913044</c:v>
                </c:pt>
                <c:pt idx="11">
                  <c:v>479.81818181818181</c:v>
                </c:pt>
                <c:pt idx="12">
                  <c:v>486.6</c:v>
                </c:pt>
                <c:pt idx="13">
                  <c:v>482.36363636363637</c:v>
                </c:pt>
                <c:pt idx="14">
                  <c:v>539.40909090909088</c:v>
                </c:pt>
                <c:pt idx="15">
                  <c:v>584.40909090909088</c:v>
                </c:pt>
                <c:pt idx="16">
                  <c:v>587.54999999999995</c:v>
                </c:pt>
                <c:pt idx="17">
                  <c:v>544.17391304347825</c:v>
                </c:pt>
                <c:pt idx="18">
                  <c:v>500.9</c:v>
                </c:pt>
                <c:pt idx="19">
                  <c:v>478.39130434782606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60-4C81-A263-2058DF530047}"/>
            </c:ext>
          </c:extLst>
        </c:ser>
        <c:ser>
          <c:idx val="2"/>
          <c:order val="2"/>
          <c:tx>
            <c:strRef>
              <c:f>'Figure 2'!$C$2</c:f>
              <c:strCache>
                <c:ptCount val="1"/>
                <c:pt idx="0">
                  <c:v>U.S., FOB, Gulf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2'!$A$3:$A$22</c:f>
              <c:strCache>
                <c:ptCount val="20"/>
                <c:pt idx="0">
                  <c:v>Oct. 21</c:v>
                </c:pt>
                <c:pt idx="1">
                  <c:v>Nov. 21</c:v>
                </c:pt>
                <c:pt idx="2">
                  <c:v>Dec. 21</c:v>
                </c:pt>
                <c:pt idx="3">
                  <c:v>Jan. 22</c:v>
                </c:pt>
                <c:pt idx="4">
                  <c:v>Feb. 22</c:v>
                </c:pt>
                <c:pt idx="5">
                  <c:v>Mar. 22</c:v>
                </c:pt>
                <c:pt idx="6">
                  <c:v>Apr. 22</c:v>
                </c:pt>
                <c:pt idx="7">
                  <c:v>May 22</c:v>
                </c:pt>
                <c:pt idx="8">
                  <c:v>Jun. 22</c:v>
                </c:pt>
                <c:pt idx="9">
                  <c:v>Jul. 22</c:v>
                </c:pt>
                <c:pt idx="10">
                  <c:v>Aug. 22</c:v>
                </c:pt>
                <c:pt idx="11">
                  <c:v>Sep. 22</c:v>
                </c:pt>
                <c:pt idx="12">
                  <c:v>Oct. 22</c:v>
                </c:pt>
                <c:pt idx="13">
                  <c:v>Nov. 22</c:v>
                </c:pt>
                <c:pt idx="14">
                  <c:v>Dec. 22</c:v>
                </c:pt>
                <c:pt idx="15">
                  <c:v>Jan. 23</c:v>
                </c:pt>
                <c:pt idx="16">
                  <c:v>Feb. 23</c:v>
                </c:pt>
                <c:pt idx="17">
                  <c:v>Mar. 23</c:v>
                </c:pt>
                <c:pt idx="18">
                  <c:v>Apr. 23</c:v>
                </c:pt>
                <c:pt idx="19">
                  <c:v>May 23</c:v>
                </c:pt>
              </c:strCache>
            </c:strRef>
          </c:cat>
          <c:val>
            <c:numRef>
              <c:f>'Figure 2'!$C$3:$C$22</c:f>
              <c:numCache>
                <c:formatCode>#,##0</c:formatCode>
                <c:ptCount val="20"/>
                <c:pt idx="0">
                  <c:v>408.66666666666669</c:v>
                </c:pt>
                <c:pt idx="1">
                  <c:v>431.22727272727275</c:v>
                </c:pt>
                <c:pt idx="2">
                  <c:v>451.43478260869563</c:v>
                </c:pt>
                <c:pt idx="3">
                  <c:v>489.1904761904762</c:v>
                </c:pt>
                <c:pt idx="4">
                  <c:v>537.79999999999995</c:v>
                </c:pt>
                <c:pt idx="5">
                  <c:v>581.52173913043475</c:v>
                </c:pt>
                <c:pt idx="6">
                  <c:v>559.14285714285711</c:v>
                </c:pt>
                <c:pt idx="7">
                  <c:v>500.31818181818181</c:v>
                </c:pt>
                <c:pt idx="8">
                  <c:v>527.0454545454545</c:v>
                </c:pt>
                <c:pt idx="9">
                  <c:v>556.76190476190482</c:v>
                </c:pt>
                <c:pt idx="10">
                  <c:v>564.82608695652175</c:v>
                </c:pt>
                <c:pt idx="11">
                  <c:v>520.18181818181813</c:v>
                </c:pt>
                <c:pt idx="12">
                  <c:v>496.8095238095238</c:v>
                </c:pt>
                <c:pt idx="13">
                  <c:v>500.13636363636363</c:v>
                </c:pt>
                <c:pt idx="14">
                  <c:v>540.59090909090912</c:v>
                </c:pt>
                <c:pt idx="15">
                  <c:v>582.90909090909088</c:v>
                </c:pt>
                <c:pt idx="16">
                  <c:v>607.75</c:v>
                </c:pt>
                <c:pt idx="17">
                  <c:v>563.95652173913038</c:v>
                </c:pt>
                <c:pt idx="18">
                  <c:v>527.85</c:v>
                </c:pt>
                <c:pt idx="19">
                  <c:v>482.6521739130435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60-4C81-A263-2058DF530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957823"/>
        <c:axId val="1641959263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49812504206204999"/>
              <c:y val="0.86655550409140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  <c:max val="32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Thousand short tons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32848778519E-3"/>
              <c:y val="0.1482136791724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  <c:majorUnit val="250"/>
      </c:valAx>
      <c:valAx>
        <c:axId val="1641959263"/>
        <c:scaling>
          <c:orientation val="minMax"/>
          <c:min val="37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Dollars per ton</a:t>
                </a:r>
              </a:p>
            </c:rich>
          </c:tx>
          <c:layout>
            <c:manualLayout>
              <c:xMode val="edge"/>
              <c:yMode val="edge"/>
              <c:x val="0.86213675213675212"/>
              <c:y val="0.142400030878493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1957823"/>
        <c:crosses val="max"/>
        <c:crossBetween val="between"/>
      </c:valAx>
      <c:catAx>
        <c:axId val="16419578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19592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0085470085470084E-2"/>
          <c:y val="9.7271885132005548E-2"/>
          <c:w val="0.9"/>
          <c:h val="5.21226390818794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Global soybean meal market share evolution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4.3992938382702157E-3"/>
          <c:y val="2.29265406572379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826045563603843E-2"/>
          <c:y val="0.19856514666674019"/>
          <c:w val="0.8536475865022658"/>
          <c:h val="0.4643876650127694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3'!$A$2:$A$14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2022/23*June</c:v>
                </c:pt>
                <c:pt idx="11">
                  <c:v>2023/24* May</c:v>
                </c:pt>
                <c:pt idx="12">
                  <c:v>2023/24* June</c:v>
                </c:pt>
              </c:strCache>
            </c:strRef>
          </c:cat>
          <c:val>
            <c:numRef>
              <c:f>'Figure 3'!$B$2:$B$14</c:f>
              <c:numCache>
                <c:formatCode>0.0</c:formatCode>
                <c:ptCount val="13"/>
                <c:pt idx="0">
                  <c:v>40.477860062597273</c:v>
                </c:pt>
                <c:pt idx="1">
                  <c:v>41.027157573069154</c:v>
                </c:pt>
                <c:pt idx="2">
                  <c:v>44.194067246125769</c:v>
                </c:pt>
                <c:pt idx="3">
                  <c:v>46.081976178901314</c:v>
                </c:pt>
                <c:pt idx="4">
                  <c:v>47.892298518416588</c:v>
                </c:pt>
                <c:pt idx="5">
                  <c:v>39.915200145892221</c:v>
                </c:pt>
                <c:pt idx="6">
                  <c:v>42.365335449175703</c:v>
                </c:pt>
                <c:pt idx="7">
                  <c:v>40.421867640131886</c:v>
                </c:pt>
                <c:pt idx="8">
                  <c:v>40.78297553741379</c:v>
                </c:pt>
                <c:pt idx="9">
                  <c:v>38.677722016146625</c:v>
                </c:pt>
                <c:pt idx="10">
                  <c:v>32.188186477910669</c:v>
                </c:pt>
                <c:pt idx="11">
                  <c:v>35.296303176667287</c:v>
                </c:pt>
                <c:pt idx="12">
                  <c:v>34.949445555092119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8-4256-B840-669256A06C0C}"/>
            </c:ext>
          </c:extLst>
        </c:ser>
        <c:ser>
          <c:idx val="4"/>
          <c:order val="1"/>
          <c:tx>
            <c:strRef>
              <c:f>'Figure 3'!$C$1</c:f>
              <c:strCache>
                <c:ptCount val="1"/>
                <c:pt idx="0">
                  <c:v>Brazil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3'!$A$2:$A$14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2022/23*June</c:v>
                </c:pt>
                <c:pt idx="11">
                  <c:v>2023/24* May</c:v>
                </c:pt>
                <c:pt idx="12">
                  <c:v>2023/24* June</c:v>
                </c:pt>
              </c:strCache>
            </c:strRef>
          </c:cat>
          <c:val>
            <c:numRef>
              <c:f>'Figure 3'!$C$2:$C$14</c:f>
              <c:numCache>
                <c:formatCode>0.0</c:formatCode>
                <c:ptCount val="13"/>
                <c:pt idx="0">
                  <c:v>22.647898886589473</c:v>
                </c:pt>
                <c:pt idx="1">
                  <c:v>22.915537154780093</c:v>
                </c:pt>
                <c:pt idx="2">
                  <c:v>22.100900120634726</c:v>
                </c:pt>
                <c:pt idx="3">
                  <c:v>23.406356344190566</c:v>
                </c:pt>
                <c:pt idx="4">
                  <c:v>21.041848233261469</c:v>
                </c:pt>
                <c:pt idx="5">
                  <c:v>24.365520804838759</c:v>
                </c:pt>
                <c:pt idx="6">
                  <c:v>23.648946486820066</c:v>
                </c:pt>
                <c:pt idx="7">
                  <c:v>25.758066415449836</c:v>
                </c:pt>
                <c:pt idx="8">
                  <c:v>23.866499647243462</c:v>
                </c:pt>
                <c:pt idx="9">
                  <c:v>29.394137755473125</c:v>
                </c:pt>
                <c:pt idx="10">
                  <c:v>33.027215035391748</c:v>
                </c:pt>
                <c:pt idx="11">
                  <c:v>31.00930279083725</c:v>
                </c:pt>
                <c:pt idx="12">
                  <c:v>31.353823584403628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8-4256-B840-669256A06C0C}"/>
            </c:ext>
          </c:extLst>
        </c:ser>
        <c:ser>
          <c:idx val="2"/>
          <c:order val="2"/>
          <c:tx>
            <c:strRef>
              <c:f>'Figure 3'!$D$1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3'!$A$2:$A$14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2022/23*June</c:v>
                </c:pt>
                <c:pt idx="11">
                  <c:v>2023/24* May</c:v>
                </c:pt>
                <c:pt idx="12">
                  <c:v>2023/24* June</c:v>
                </c:pt>
              </c:strCache>
            </c:strRef>
          </c:cat>
          <c:val>
            <c:numRef>
              <c:f>'Figure 3'!$D$2:$D$14</c:f>
              <c:numCache>
                <c:formatCode>0.0</c:formatCode>
                <c:ptCount val="13"/>
                <c:pt idx="0">
                  <c:v>8.4540525748687347</c:v>
                </c:pt>
                <c:pt idx="1">
                  <c:v>5.3427965892848341</c:v>
                </c:pt>
                <c:pt idx="2">
                  <c:v>2.3523771227071668</c:v>
                </c:pt>
                <c:pt idx="3">
                  <c:v>0.62135391346621294</c:v>
                </c:pt>
                <c:pt idx="4">
                  <c:v>3.0870143571395809</c:v>
                </c:pt>
                <c:pt idx="5">
                  <c:v>2.8312209355338744</c:v>
                </c:pt>
                <c:pt idx="6">
                  <c:v>3.2104969290898939</c:v>
                </c:pt>
                <c:pt idx="7">
                  <c:v>1.7163212435233159</c:v>
                </c:pt>
                <c:pt idx="8">
                  <c:v>3.4483751601802655</c:v>
                </c:pt>
                <c:pt idx="9">
                  <c:v>1.3673721725216379</c:v>
                </c:pt>
                <c:pt idx="10">
                  <c:v>2.5933609958506225</c:v>
                </c:pt>
                <c:pt idx="11">
                  <c:v>1.1432001028880094</c:v>
                </c:pt>
                <c:pt idx="12">
                  <c:v>1.1505990306203167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98-4256-B840-669256A06C0C}"/>
            </c:ext>
          </c:extLst>
        </c:ser>
        <c:ser>
          <c:idx val="1"/>
          <c:order val="3"/>
          <c:tx>
            <c:strRef>
              <c:f>'Figure 3'!$E$1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3'!$A$2:$A$14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2022/23*June</c:v>
                </c:pt>
                <c:pt idx="11">
                  <c:v>2023/24* May</c:v>
                </c:pt>
                <c:pt idx="12">
                  <c:v>2023/24* June</c:v>
                </c:pt>
              </c:strCache>
            </c:strRef>
          </c:cat>
          <c:val>
            <c:numRef>
              <c:f>'Figure 3'!$E$2:$E$14</c:f>
              <c:numCache>
                <c:formatCode>0.0</c:formatCode>
                <c:ptCount val="13"/>
                <c:pt idx="0">
                  <c:v>17.292924455694468</c:v>
                </c:pt>
                <c:pt idx="1">
                  <c:v>17.257298700445233</c:v>
                </c:pt>
                <c:pt idx="2">
                  <c:v>18.390609050697513</c:v>
                </c:pt>
                <c:pt idx="3">
                  <c:v>16.472715119105494</c:v>
                </c:pt>
                <c:pt idx="4">
                  <c:v>16.061954344601929</c:v>
                </c:pt>
                <c:pt idx="5">
                  <c:v>19.326160299079056</c:v>
                </c:pt>
                <c:pt idx="6">
                  <c:v>17.839195979899497</c:v>
                </c:pt>
                <c:pt idx="7">
                  <c:v>18.471796985398022</c:v>
                </c:pt>
                <c:pt idx="8">
                  <c:v>17.862439347472392</c:v>
                </c:pt>
                <c:pt idx="9">
                  <c:v>17.8471161539021</c:v>
                </c:pt>
                <c:pt idx="10">
                  <c:v>19.375457651940444</c:v>
                </c:pt>
                <c:pt idx="11">
                  <c:v>19.185755726718014</c:v>
                </c:pt>
                <c:pt idx="12">
                  <c:v>19.309928231385463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98-4256-B840-669256A06C0C}"/>
            </c:ext>
          </c:extLst>
        </c:ser>
        <c:ser>
          <c:idx val="5"/>
          <c:order val="4"/>
          <c:tx>
            <c:strRef>
              <c:f>'Figure 3'!$F$1</c:f>
              <c:strCache>
                <c:ptCount val="1"/>
                <c:pt idx="0">
                  <c:v>Rest of world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3'!$A$2:$A$14</c:f>
              <c:strCache>
                <c:ptCount val="13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2022/23*June</c:v>
                </c:pt>
                <c:pt idx="11">
                  <c:v>2023/24* May</c:v>
                </c:pt>
                <c:pt idx="12">
                  <c:v>2023/24* June</c:v>
                </c:pt>
              </c:strCache>
            </c:strRef>
          </c:cat>
          <c:val>
            <c:numRef>
              <c:f>'Figure 3'!$F$2:$F$14</c:f>
              <c:numCache>
                <c:formatCode>0.0</c:formatCode>
                <c:ptCount val="13"/>
                <c:pt idx="0">
                  <c:v>11.127264020250047</c:v>
                </c:pt>
                <c:pt idx="1">
                  <c:v>13.457209982420688</c:v>
                </c:pt>
                <c:pt idx="2">
                  <c:v>12.962046459834822</c:v>
                </c:pt>
                <c:pt idx="3">
                  <c:v>13.417598444336413</c:v>
                </c:pt>
                <c:pt idx="4">
                  <c:v>11.916884546580432</c:v>
                </c:pt>
                <c:pt idx="5">
                  <c:v>13.56189781465609</c:v>
                </c:pt>
                <c:pt idx="6">
                  <c:v>12.936025155014841</c:v>
                </c:pt>
                <c:pt idx="7">
                  <c:v>13.631947715496938</c:v>
                </c:pt>
                <c:pt idx="8">
                  <c:v>14.039710307690093</c:v>
                </c:pt>
                <c:pt idx="9">
                  <c:v>12.713651901956505</c:v>
                </c:pt>
                <c:pt idx="10">
                  <c:v>12.815779838906515</c:v>
                </c:pt>
                <c:pt idx="11">
                  <c:v>13.365438202889438</c:v>
                </c:pt>
                <c:pt idx="12">
                  <c:v>13.23620359849847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98-4256-B840-669256A06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7710031239837197"/>
              <c:y val="0.812304109468330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55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Percent</a:t>
                </a:r>
              </a:p>
            </c:rich>
          </c:tx>
          <c:layout>
            <c:manualLayout>
              <c:xMode val="edge"/>
              <c:yMode val="edge"/>
              <c:x val="4.5830318576484716E-2"/>
              <c:y val="0.121245307142966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274569372979238"/>
          <c:y val="0.14097829952237548"/>
          <c:w val="0.70483314116398776"/>
          <c:h val="5.0997690036946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4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Malaysia's palm oil production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5010607699597E-3"/>
          <c:y val="9.503489016621234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376183408383857E-2"/>
          <c:y val="0.22411888726059676"/>
          <c:w val="0.87112844121321897"/>
          <c:h val="0.50416935587969536"/>
        </c:manualLayout>
      </c:layout>
      <c:areaChart>
        <c:grouping val="stacked"/>
        <c:varyColors val="0"/>
        <c:ser>
          <c:idx val="2"/>
          <c:order val="1"/>
          <c:tx>
            <c:strRef>
              <c:f>'Figure 4'!$D$1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strRef>
              <c:f>'Figure 4'!$A$2:$A$15</c:f>
              <c:strCache>
                <c:ptCount val="14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2022/23*May</c:v>
                </c:pt>
                <c:pt idx="11">
                  <c:v>2022/23*June</c:v>
                </c:pt>
                <c:pt idx="12">
                  <c:v>2023/24* May</c:v>
                </c:pt>
                <c:pt idx="13">
                  <c:v>2023/24* June</c:v>
                </c:pt>
              </c:strCache>
            </c:strRef>
          </c:cat>
          <c:val>
            <c:numRef>
              <c:f>'Figure 4'!$D$2:$D$15</c:f>
              <c:numCache>
                <c:formatCode>#,##0.0</c:formatCode>
                <c:ptCount val="14"/>
                <c:pt idx="0">
                  <c:v>19.321000000000002</c:v>
                </c:pt>
                <c:pt idx="1">
                  <c:v>20.161000000000001</c:v>
                </c:pt>
                <c:pt idx="2">
                  <c:v>19.879000000000001</c:v>
                </c:pt>
                <c:pt idx="3">
                  <c:v>17.7</c:v>
                </c:pt>
                <c:pt idx="4">
                  <c:v>18.858000000000001</c:v>
                </c:pt>
                <c:pt idx="5">
                  <c:v>19.683</c:v>
                </c:pt>
                <c:pt idx="6">
                  <c:v>20.8</c:v>
                </c:pt>
                <c:pt idx="7">
                  <c:v>19.254999999999999</c:v>
                </c:pt>
                <c:pt idx="8">
                  <c:v>17.853999999999999</c:v>
                </c:pt>
                <c:pt idx="9">
                  <c:v>18.152000000000001</c:v>
                </c:pt>
                <c:pt idx="10">
                  <c:v>18.899999999999999</c:v>
                </c:pt>
                <c:pt idx="11">
                  <c:v>18.600000000000001</c:v>
                </c:pt>
                <c:pt idx="12">
                  <c:v>19.3</c:v>
                </c:pt>
                <c:pt idx="1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7-4E94-9E18-53EDD9A7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barChart>
        <c:barDir val="col"/>
        <c:grouping val="clustered"/>
        <c:varyColors val="0"/>
        <c:ser>
          <c:idx val="1"/>
          <c:order val="0"/>
          <c:tx>
            <c:strRef>
              <c:f>'Figure 4'!$B$1</c:f>
              <c:strCache>
                <c:ptCount val="1"/>
                <c:pt idx="0">
                  <c:v>Area harvested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4'!$A$2:$A$15</c:f>
              <c:strCache>
                <c:ptCount val="14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2022/23*May</c:v>
                </c:pt>
                <c:pt idx="11">
                  <c:v>2022/23*June</c:v>
                </c:pt>
                <c:pt idx="12">
                  <c:v>2023/24* May</c:v>
                </c:pt>
                <c:pt idx="13">
                  <c:v>2023/24* June</c:v>
                </c:pt>
              </c:strCache>
            </c:strRef>
          </c:cat>
          <c:val>
            <c:numRef>
              <c:f>'Figure 4'!$B$2:$B$15</c:f>
              <c:numCache>
                <c:formatCode>#,##0.0</c:formatCode>
                <c:ptCount val="14"/>
                <c:pt idx="0">
                  <c:v>4.3529999999999998</c:v>
                </c:pt>
                <c:pt idx="1">
                  <c:v>4.5259999999999998</c:v>
                </c:pt>
                <c:pt idx="2">
                  <c:v>4.6890000000000001</c:v>
                </c:pt>
                <c:pt idx="3">
                  <c:v>4.8</c:v>
                </c:pt>
                <c:pt idx="4">
                  <c:v>4.9000000000000004</c:v>
                </c:pt>
                <c:pt idx="5">
                  <c:v>5.2</c:v>
                </c:pt>
                <c:pt idx="6">
                  <c:v>5.3</c:v>
                </c:pt>
                <c:pt idx="7">
                  <c:v>5.35</c:v>
                </c:pt>
                <c:pt idx="8">
                  <c:v>5.4</c:v>
                </c:pt>
                <c:pt idx="9">
                  <c:v>5.45</c:v>
                </c:pt>
                <c:pt idx="10">
                  <c:v>5.5</c:v>
                </c:pt>
                <c:pt idx="11">
                  <c:v>5.5</c:v>
                </c:pt>
                <c:pt idx="12">
                  <c:v>5.55</c:v>
                </c:pt>
                <c:pt idx="13">
                  <c:v>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7-4E94-9E18-53EDD9A7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0"/>
          <c:order val="2"/>
          <c:tx>
            <c:strRef>
              <c:f>'Figure 4'!$C$1</c:f>
              <c:strCache>
                <c:ptCount val="1"/>
                <c:pt idx="0">
                  <c:v>Yield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4'!$A$2:$A$15</c:f>
              <c:strCache>
                <c:ptCount val="14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2022/23*May</c:v>
                </c:pt>
                <c:pt idx="11">
                  <c:v>2022/23*June</c:v>
                </c:pt>
                <c:pt idx="12">
                  <c:v>2023/24* May</c:v>
                </c:pt>
                <c:pt idx="13">
                  <c:v>2023/24* June</c:v>
                </c:pt>
              </c:strCache>
            </c:strRef>
          </c:cat>
          <c:val>
            <c:numRef>
              <c:f>'Figure 4'!$C$2:$C$15</c:f>
              <c:numCache>
                <c:formatCode>#,##0.00</c:formatCode>
                <c:ptCount val="14"/>
                <c:pt idx="0">
                  <c:v>4.4385481277280041</c:v>
                </c:pt>
                <c:pt idx="1">
                  <c:v>4.4544851966416266</c:v>
                </c:pt>
                <c:pt idx="2">
                  <c:v>4.2394966943911285</c:v>
                </c:pt>
                <c:pt idx="3">
                  <c:v>3.6875</c:v>
                </c:pt>
                <c:pt idx="4">
                  <c:v>3.8485714285714283</c:v>
                </c:pt>
                <c:pt idx="5">
                  <c:v>3.7851923076923075</c:v>
                </c:pt>
                <c:pt idx="6">
                  <c:v>3.9245283018867929</c:v>
                </c:pt>
                <c:pt idx="7">
                  <c:v>3.5990654205607475</c:v>
                </c:pt>
                <c:pt idx="8">
                  <c:v>3.3062962962962961</c:v>
                </c:pt>
                <c:pt idx="9">
                  <c:v>3.3306422018348623</c:v>
                </c:pt>
                <c:pt idx="10">
                  <c:v>3.4363636363636361</c:v>
                </c:pt>
                <c:pt idx="11">
                  <c:v>3.3818181818181823</c:v>
                </c:pt>
                <c:pt idx="12">
                  <c:v>3.4774774774774779</c:v>
                </c:pt>
                <c:pt idx="13">
                  <c:v>3.4234234234234235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7-4E94-9E18-53EDD9A7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455088"/>
        <c:axId val="1542454608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259691580086037"/>
              <c:y val="0.858514491378066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ax val="22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Million hectares,</a:t>
                </a:r>
              </a:p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sz="900" b="0" i="0" baseline="0">
                    <a:effectLst/>
                  </a:rPr>
                  <a:t>Million metric tons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7051898065458E-3"/>
              <c:y val="0.112617914081858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3"/>
      </c:valAx>
      <c:valAx>
        <c:axId val="1542454608"/>
        <c:scaling>
          <c:orientation val="minMax"/>
          <c:max val="4.7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0.82621938232161873"/>
              <c:y val="0.12682372407376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42455088"/>
        <c:crosses val="max"/>
        <c:crossBetween val="between"/>
      </c:valAx>
      <c:catAx>
        <c:axId val="154245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2454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13567792843786"/>
          <c:y val="0.11007701906114195"/>
          <c:w val="0.5011392585511476"/>
          <c:h val="5.03253631386722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603884</xdr:colOff>
      <xdr:row>0</xdr:row>
      <xdr:rowOff>45720</xdr:rowOff>
    </xdr:from>
    <xdr:to>
      <xdr:col>17</xdr:col>
      <xdr:colOff>40004</xdr:colOff>
      <xdr:row>22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DF08E8-F157-4FCE-901B-7D6798361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0.86835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015615"/>
          <a:ext cx="6400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Asterisk (*) denotes forecast.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584729</xdr:colOff>
      <xdr:row>1</xdr:row>
      <xdr:rowOff>85195</xdr:rowOff>
    </xdr:from>
    <xdr:to>
      <xdr:col>15</xdr:col>
      <xdr:colOff>389995</xdr:colOff>
      <xdr:row>23</xdr:row>
      <xdr:rowOff>150812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C23130F7-44A8-4505-A3F1-8C68A459C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0.87917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623205"/>
          <a:ext cx="6070599" cy="497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FOB: Free On Board</a:t>
          </a:r>
          <a:endParaRPr lang="en-US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USDA, Foreign Agricultural Service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Global Agricultural Trade System; Trade Data Monitor; and International Grains Council.</a:t>
          </a:r>
          <a:endParaRPr lang="en-US" sz="105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542924</xdr:colOff>
      <xdr:row>0</xdr:row>
      <xdr:rowOff>7620</xdr:rowOff>
    </xdr:from>
    <xdr:to>
      <xdr:col>18</xdr:col>
      <xdr:colOff>382904</xdr:colOff>
      <xdr:row>22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C8444C-EE42-4221-A7DD-A0000E8FA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0.87248</cdr:y>
    </cdr:from>
    <cdr:to>
      <cdr:x>1</cdr:x>
      <cdr:y>0.99397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481538"/>
          <a:ext cx="6096401" cy="484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Asterisk (*) denotes forecast.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259078</xdr:colOff>
      <xdr:row>0</xdr:row>
      <xdr:rowOff>38100</xdr:rowOff>
    </xdr:from>
    <xdr:to>
      <xdr:col>14</xdr:col>
      <xdr:colOff>125728</xdr:colOff>
      <xdr:row>22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816443-B20A-4F00-B816-48F6B5CCC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0.89296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528060"/>
          <a:ext cx="5962650" cy="422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105"/>
      <c r="C1" s="10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105"/>
    </row>
    <row r="5" spans="1:3">
      <c r="A5" s="10" t="s">
        <v>3</v>
      </c>
      <c r="B5" s="4"/>
      <c r="C5" s="105"/>
    </row>
    <row r="6" spans="1:3">
      <c r="A6" s="10" t="s">
        <v>4</v>
      </c>
      <c r="B6" s="4"/>
      <c r="C6" s="105"/>
    </row>
    <row r="7" spans="1:3">
      <c r="A7" s="10" t="s">
        <v>5</v>
      </c>
      <c r="B7" s="4"/>
      <c r="C7" s="105"/>
    </row>
    <row r="8" spans="1:3">
      <c r="A8" s="10" t="s">
        <v>6</v>
      </c>
      <c r="B8" s="4"/>
      <c r="C8" s="105"/>
    </row>
    <row r="9" spans="1:3">
      <c r="A9" s="10" t="s">
        <v>7</v>
      </c>
      <c r="B9" s="4"/>
      <c r="C9" s="105"/>
    </row>
    <row r="10" spans="1:3">
      <c r="A10" s="10" t="s">
        <v>8</v>
      </c>
      <c r="B10" s="4"/>
      <c r="C10" s="105"/>
    </row>
    <row r="11" spans="1:3">
      <c r="A11" s="10" t="s">
        <v>9</v>
      </c>
      <c r="B11" s="4"/>
      <c r="C11" s="105"/>
    </row>
    <row r="12" spans="1:3">
      <c r="A12" s="10" t="s">
        <v>10</v>
      </c>
      <c r="B12" s="4"/>
      <c r="C12" s="105"/>
    </row>
    <row r="13" spans="1:3">
      <c r="A13" s="11" t="s">
        <v>11</v>
      </c>
      <c r="B13" s="4"/>
      <c r="C13" s="105"/>
    </row>
    <row r="14" spans="1:3" ht="13.2">
      <c r="A14" s="105"/>
      <c r="B14" s="105"/>
      <c r="C14" s="105"/>
    </row>
    <row r="15" spans="1:3">
      <c r="A15" s="7" t="s">
        <v>12</v>
      </c>
      <c r="B15" s="105"/>
      <c r="C15" s="105"/>
    </row>
    <row r="16" spans="1:3">
      <c r="A16" s="9">
        <v>45090</v>
      </c>
      <c r="B16" s="105"/>
      <c r="C16" s="10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C87EE-85A6-4FEA-94DF-95519D7C85EA}">
  <dimension ref="A2:E22"/>
  <sheetViews>
    <sheetView zoomScale="90" zoomScaleNormal="90" workbookViewId="0">
      <selection activeCell="F25" sqref="F25"/>
    </sheetView>
  </sheetViews>
  <sheetFormatPr defaultColWidth="9.109375" defaultRowHeight="13.2"/>
  <cols>
    <col min="1" max="1" width="9.109375" style="113"/>
    <col min="2" max="2" width="10.33203125" style="113" customWidth="1"/>
    <col min="3" max="3" width="8" style="113" customWidth="1"/>
    <col min="4" max="4" width="9.109375" style="113"/>
    <col min="5" max="5" width="9.6640625" style="113" customWidth="1"/>
    <col min="6" max="16384" width="9.109375" style="113"/>
  </cols>
  <sheetData>
    <row r="2" spans="1:5" ht="39.6">
      <c r="A2" s="140" t="s">
        <v>193</v>
      </c>
      <c r="B2" s="134" t="s">
        <v>192</v>
      </c>
      <c r="C2" s="134" t="s">
        <v>191</v>
      </c>
      <c r="D2" s="134" t="s">
        <v>190</v>
      </c>
      <c r="E2" s="134" t="s">
        <v>189</v>
      </c>
    </row>
    <row r="3" spans="1:5">
      <c r="A3" s="155" t="s">
        <v>188</v>
      </c>
      <c r="B3" s="153">
        <v>386.52380952380952</v>
      </c>
      <c r="C3" s="153">
        <v>408.66666666666669</v>
      </c>
      <c r="D3" s="153">
        <v>1090.4516528468407</v>
      </c>
      <c r="E3" s="153">
        <v>2673.9096140062993</v>
      </c>
    </row>
    <row r="4" spans="1:5">
      <c r="A4" s="155" t="s">
        <v>187</v>
      </c>
      <c r="B4" s="153">
        <v>392.86363636363637</v>
      </c>
      <c r="C4" s="153">
        <v>431.22727272727275</v>
      </c>
      <c r="D4" s="153">
        <v>1247.6958100626857</v>
      </c>
      <c r="E4" s="153">
        <v>2255.6927029922995</v>
      </c>
    </row>
    <row r="5" spans="1:5">
      <c r="A5" s="155" t="s">
        <v>186</v>
      </c>
      <c r="B5" s="153">
        <v>425.17391304347825</v>
      </c>
      <c r="C5" s="153">
        <v>451.43478260869563</v>
      </c>
      <c r="D5" s="153">
        <v>1406.3753970664127</v>
      </c>
      <c r="E5" s="153">
        <v>2348.9493421296092</v>
      </c>
    </row>
    <row r="6" spans="1:5">
      <c r="A6" s="155" t="s">
        <v>185</v>
      </c>
      <c r="B6" s="153">
        <v>464.61904761904759</v>
      </c>
      <c r="C6" s="153">
        <v>489.1904761904762</v>
      </c>
      <c r="D6" s="153">
        <v>1298.0246989301415</v>
      </c>
      <c r="E6" s="153">
        <v>1658.6070426385295</v>
      </c>
    </row>
    <row r="7" spans="1:5">
      <c r="A7" s="155" t="s">
        <v>184</v>
      </c>
      <c r="B7" s="153">
        <v>505.15</v>
      </c>
      <c r="C7" s="153">
        <v>537.79999999999995</v>
      </c>
      <c r="D7" s="153">
        <v>1082.1894988849976</v>
      </c>
      <c r="E7" s="153">
        <v>2175.1181554765394</v>
      </c>
    </row>
    <row r="8" spans="1:5">
      <c r="A8" s="155" t="s">
        <v>183</v>
      </c>
      <c r="B8" s="153">
        <v>547.695652173913</v>
      </c>
      <c r="C8" s="153">
        <v>581.52173913043475</v>
      </c>
      <c r="D8" s="153">
        <v>1197.3467488982567</v>
      </c>
      <c r="E8" s="153">
        <v>2364.2780832064695</v>
      </c>
    </row>
    <row r="9" spans="1:5">
      <c r="A9" s="155" t="s">
        <v>182</v>
      </c>
      <c r="B9" s="153">
        <v>515.71428571428567</v>
      </c>
      <c r="C9" s="153">
        <v>559.14285714285711</v>
      </c>
      <c r="D9" s="153">
        <v>1185.6514463614185</v>
      </c>
      <c r="E9" s="153">
        <v>3108.8750430644391</v>
      </c>
    </row>
    <row r="10" spans="1:5">
      <c r="A10" s="154" t="s">
        <v>181</v>
      </c>
      <c r="B10" s="153">
        <v>473.04545454545456</v>
      </c>
      <c r="C10" s="153">
        <v>500.31818181818181</v>
      </c>
      <c r="D10" s="153">
        <v>1142.3850660571327</v>
      </c>
      <c r="E10" s="153">
        <v>3003.9956334744893</v>
      </c>
    </row>
    <row r="11" spans="1:5">
      <c r="A11" s="155" t="s">
        <v>180</v>
      </c>
      <c r="B11" s="153">
        <v>476</v>
      </c>
      <c r="C11" s="153">
        <v>527.0454545454545</v>
      </c>
      <c r="D11" s="153">
        <v>1145.4588611450679</v>
      </c>
      <c r="E11" s="153">
        <v>3060.3016951892891</v>
      </c>
    </row>
    <row r="12" spans="1:5">
      <c r="A12" s="155" t="s">
        <v>179</v>
      </c>
      <c r="B12" s="153">
        <v>486.09523809523807</v>
      </c>
      <c r="C12" s="153">
        <v>556.76190476190482</v>
      </c>
      <c r="D12" s="153">
        <v>914.46588850724481</v>
      </c>
      <c r="E12" s="153">
        <v>2754.3133032690089</v>
      </c>
    </row>
    <row r="13" spans="1:5">
      <c r="A13" s="155" t="s">
        <v>178</v>
      </c>
      <c r="B13" s="153">
        <v>488.95652173913044</v>
      </c>
      <c r="C13" s="153">
        <v>564.82608695652175</v>
      </c>
      <c r="D13" s="153">
        <v>912.85486052767976</v>
      </c>
      <c r="E13" s="153">
        <v>2010.7811761364997</v>
      </c>
    </row>
    <row r="14" spans="1:5">
      <c r="A14" s="155" t="s">
        <v>177</v>
      </c>
      <c r="B14" s="153">
        <v>479.81818181818181</v>
      </c>
      <c r="C14" s="153">
        <v>520.18181818181813</v>
      </c>
      <c r="D14" s="153">
        <v>900.9271907666938</v>
      </c>
      <c r="E14" s="153">
        <v>1894.3550555742995</v>
      </c>
    </row>
    <row r="15" spans="1:5">
      <c r="A15" s="155" t="s">
        <v>176</v>
      </c>
      <c r="B15" s="153">
        <v>486.6</v>
      </c>
      <c r="C15" s="153">
        <v>496.8095238095238</v>
      </c>
      <c r="D15" s="153">
        <v>959.67233671713086</v>
      </c>
      <c r="E15" s="153">
        <v>2601.7192463143992</v>
      </c>
    </row>
    <row r="16" spans="1:5">
      <c r="A16" s="155" t="s">
        <v>175</v>
      </c>
      <c r="B16" s="153">
        <v>482.36363636363637</v>
      </c>
      <c r="C16" s="153">
        <v>500.13636363636363</v>
      </c>
      <c r="D16" s="153">
        <v>1251.8763257058606</v>
      </c>
      <c r="E16" s="153">
        <v>2707.2302802849795</v>
      </c>
    </row>
    <row r="17" spans="1:5">
      <c r="A17" s="155" t="s">
        <v>174</v>
      </c>
      <c r="B17" s="153">
        <v>539.40909090909088</v>
      </c>
      <c r="C17" s="153">
        <v>540.59090909090912</v>
      </c>
      <c r="D17" s="153">
        <v>1317.9473223914265</v>
      </c>
      <c r="E17" s="153">
        <v>2295.0804907212191</v>
      </c>
    </row>
    <row r="18" spans="1:5">
      <c r="A18" s="155" t="s">
        <v>173</v>
      </c>
      <c r="B18" s="153">
        <v>584.40909090909088</v>
      </c>
      <c r="C18" s="153">
        <v>582.90909090909088</v>
      </c>
      <c r="D18" s="153">
        <v>1548.3308271059507</v>
      </c>
      <c r="E18" s="153">
        <v>1377.5187608998397</v>
      </c>
    </row>
    <row r="19" spans="1:5">
      <c r="A19" s="155" t="s">
        <v>172</v>
      </c>
      <c r="B19" s="153">
        <v>587.54999999999995</v>
      </c>
      <c r="C19" s="153">
        <v>607.75</v>
      </c>
      <c r="D19" s="153">
        <v>1019.8292127622847</v>
      </c>
      <c r="E19" s="153">
        <v>1153.0958943630096</v>
      </c>
    </row>
    <row r="20" spans="1:5">
      <c r="A20" s="155" t="s">
        <v>171</v>
      </c>
      <c r="B20" s="153">
        <v>544.17391304347825</v>
      </c>
      <c r="C20" s="153">
        <v>563.95652173913038</v>
      </c>
      <c r="D20" s="153">
        <v>1472.8462020641157</v>
      </c>
      <c r="E20" s="153">
        <v>1424.1862125199996</v>
      </c>
    </row>
    <row r="21" spans="1:5">
      <c r="A21" s="155" t="s">
        <v>170</v>
      </c>
      <c r="B21" s="153">
        <v>500.9</v>
      </c>
      <c r="C21" s="153">
        <v>527.85</v>
      </c>
      <c r="D21" s="153">
        <v>1244.123880493762</v>
      </c>
      <c r="E21" s="153">
        <v>2000.0171061943495</v>
      </c>
    </row>
    <row r="22" spans="1:5">
      <c r="A22" s="154" t="s">
        <v>169</v>
      </c>
      <c r="B22" s="153">
        <v>478.39130434782606</v>
      </c>
      <c r="C22" s="153">
        <v>482.6521739130435</v>
      </c>
      <c r="D22" s="153"/>
      <c r="E22" s="15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99BA-B265-490B-9FD3-060B5B03D007}">
  <dimension ref="A1:I34"/>
  <sheetViews>
    <sheetView zoomScale="95" zoomScaleNormal="95" workbookViewId="0"/>
  </sheetViews>
  <sheetFormatPr defaultColWidth="9.109375" defaultRowHeight="13.2"/>
  <cols>
    <col min="1" max="1" width="12.6640625" style="113" bestFit="1" customWidth="1"/>
    <col min="2" max="2" width="12.6640625" style="113" customWidth="1"/>
    <col min="3" max="3" width="12.33203125" style="113" customWidth="1"/>
    <col min="4" max="4" width="13.6640625" style="113" customWidth="1"/>
    <col min="5" max="5" width="19.33203125" style="113" customWidth="1"/>
    <col min="6" max="6" width="13.6640625" style="113" customWidth="1"/>
    <col min="7" max="7" width="11.33203125" style="113" customWidth="1"/>
    <col min="8" max="16384" width="9.109375" style="113"/>
  </cols>
  <sheetData>
    <row r="1" spans="1:9" ht="26.4">
      <c r="A1" s="119" t="s">
        <v>148</v>
      </c>
      <c r="B1" s="119" t="s">
        <v>163</v>
      </c>
      <c r="C1" s="119" t="s">
        <v>164</v>
      </c>
      <c r="D1" s="119" t="s">
        <v>165</v>
      </c>
      <c r="E1" s="119" t="s">
        <v>166</v>
      </c>
      <c r="F1" s="119" t="s">
        <v>194</v>
      </c>
      <c r="G1" s="140"/>
    </row>
    <row r="2" spans="1:9">
      <c r="A2" s="126" t="s">
        <v>107</v>
      </c>
      <c r="B2" s="162">
        <v>40.477860062597273</v>
      </c>
      <c r="C2" s="162">
        <v>22.647898886589473</v>
      </c>
      <c r="D2" s="162">
        <v>8.4540525748687347</v>
      </c>
      <c r="E2" s="162">
        <v>17.292924455694468</v>
      </c>
      <c r="F2" s="162">
        <v>11.127264020250047</v>
      </c>
      <c r="G2" s="146"/>
      <c r="H2" s="142"/>
      <c r="I2" s="132"/>
    </row>
    <row r="3" spans="1:9">
      <c r="A3" s="126" t="s">
        <v>108</v>
      </c>
      <c r="B3" s="162">
        <v>41.027157573069154</v>
      </c>
      <c r="C3" s="162">
        <v>22.915537154780093</v>
      </c>
      <c r="D3" s="162">
        <v>5.3427965892848341</v>
      </c>
      <c r="E3" s="162">
        <v>17.257298700445233</v>
      </c>
      <c r="F3" s="162">
        <v>13.457209982420688</v>
      </c>
      <c r="G3" s="146"/>
      <c r="H3" s="142"/>
      <c r="I3" s="132"/>
    </row>
    <row r="4" spans="1:9">
      <c r="A4" s="126" t="s">
        <v>109</v>
      </c>
      <c r="B4" s="162">
        <v>44.194067246125769</v>
      </c>
      <c r="C4" s="162">
        <v>22.100900120634726</v>
      </c>
      <c r="D4" s="162">
        <v>2.3523771227071668</v>
      </c>
      <c r="E4" s="162">
        <v>18.390609050697513</v>
      </c>
      <c r="F4" s="162">
        <v>12.962046459834822</v>
      </c>
      <c r="G4" s="146"/>
      <c r="H4" s="142"/>
      <c r="I4" s="132"/>
    </row>
    <row r="5" spans="1:9">
      <c r="A5" s="126" t="s">
        <v>110</v>
      </c>
      <c r="B5" s="162">
        <v>46.081976178901314</v>
      </c>
      <c r="C5" s="162">
        <v>23.406356344190566</v>
      </c>
      <c r="D5" s="162">
        <v>0.62135391346621294</v>
      </c>
      <c r="E5" s="162">
        <v>16.472715119105494</v>
      </c>
      <c r="F5" s="162">
        <v>13.417598444336413</v>
      </c>
      <c r="G5" s="146"/>
      <c r="H5" s="142"/>
      <c r="I5" s="132"/>
    </row>
    <row r="6" spans="1:9">
      <c r="A6" s="120" t="s">
        <v>111</v>
      </c>
      <c r="B6" s="162">
        <v>47.892298518416588</v>
      </c>
      <c r="C6" s="162">
        <v>21.041848233261469</v>
      </c>
      <c r="D6" s="162">
        <v>3.0870143571395809</v>
      </c>
      <c r="E6" s="162">
        <v>16.061954344601929</v>
      </c>
      <c r="F6" s="162">
        <v>11.916884546580432</v>
      </c>
      <c r="G6" s="146"/>
      <c r="H6" s="142"/>
      <c r="I6" s="132"/>
    </row>
    <row r="7" spans="1:9">
      <c r="A7" s="120" t="s">
        <v>112</v>
      </c>
      <c r="B7" s="162">
        <v>39.915200145892221</v>
      </c>
      <c r="C7" s="162">
        <v>24.365520804838759</v>
      </c>
      <c r="D7" s="162">
        <v>2.8312209355338744</v>
      </c>
      <c r="E7" s="162">
        <v>19.326160299079056</v>
      </c>
      <c r="F7" s="162">
        <v>13.56189781465609</v>
      </c>
      <c r="G7" s="146"/>
      <c r="H7" s="142"/>
      <c r="I7" s="132"/>
    </row>
    <row r="8" spans="1:9">
      <c r="A8" s="120" t="s">
        <v>113</v>
      </c>
      <c r="B8" s="162">
        <v>42.365335449175703</v>
      </c>
      <c r="C8" s="162">
        <v>23.648946486820066</v>
      </c>
      <c r="D8" s="162">
        <v>3.2104969290898939</v>
      </c>
      <c r="E8" s="162">
        <v>17.839195979899497</v>
      </c>
      <c r="F8" s="162">
        <v>12.936025155014841</v>
      </c>
      <c r="G8" s="146"/>
      <c r="H8" s="142"/>
      <c r="I8" s="132"/>
    </row>
    <row r="9" spans="1:9">
      <c r="A9" s="120" t="s">
        <v>114</v>
      </c>
      <c r="B9" s="162">
        <v>40.421867640131886</v>
      </c>
      <c r="C9" s="162">
        <v>25.758066415449836</v>
      </c>
      <c r="D9" s="162">
        <v>1.7163212435233159</v>
      </c>
      <c r="E9" s="162">
        <v>18.471796985398022</v>
      </c>
      <c r="F9" s="162">
        <v>13.631947715496938</v>
      </c>
      <c r="G9" s="146"/>
      <c r="H9" s="142"/>
      <c r="I9" s="132"/>
    </row>
    <row r="10" spans="1:9">
      <c r="A10" s="120" t="s">
        <v>34</v>
      </c>
      <c r="B10" s="162">
        <v>40.78297553741379</v>
      </c>
      <c r="C10" s="162">
        <v>23.866499647243462</v>
      </c>
      <c r="D10" s="162">
        <v>3.4483751601802655</v>
      </c>
      <c r="E10" s="162">
        <v>17.862439347472392</v>
      </c>
      <c r="F10" s="162">
        <v>14.039710307690093</v>
      </c>
      <c r="G10" s="146"/>
      <c r="H10" s="142"/>
      <c r="I10" s="132"/>
    </row>
    <row r="11" spans="1:9">
      <c r="A11" s="117" t="s">
        <v>37</v>
      </c>
      <c r="B11" s="162">
        <v>38.677722016146625</v>
      </c>
      <c r="C11" s="162">
        <v>29.394137755473125</v>
      </c>
      <c r="D11" s="162">
        <v>1.3673721725216379</v>
      </c>
      <c r="E11" s="162">
        <v>17.8471161539021</v>
      </c>
      <c r="F11" s="162">
        <v>12.713651901956505</v>
      </c>
      <c r="G11" s="146"/>
      <c r="H11" s="142"/>
      <c r="I11" s="132"/>
    </row>
    <row r="12" spans="1:9">
      <c r="A12" s="117" t="s">
        <v>167</v>
      </c>
      <c r="B12" s="162">
        <v>32.188186477910669</v>
      </c>
      <c r="C12" s="162">
        <v>33.027215035391748</v>
      </c>
      <c r="D12" s="162">
        <v>2.5933609958506225</v>
      </c>
      <c r="E12" s="162">
        <v>19.375457651940444</v>
      </c>
      <c r="F12" s="162">
        <v>12.815779838906515</v>
      </c>
      <c r="G12" s="146"/>
      <c r="I12" s="132"/>
    </row>
    <row r="13" spans="1:9">
      <c r="A13" s="150" t="s">
        <v>161</v>
      </c>
      <c r="B13" s="162">
        <v>35.296303176667287</v>
      </c>
      <c r="C13" s="162">
        <v>31.00930279083725</v>
      </c>
      <c r="D13" s="162">
        <v>1.1432001028880094</v>
      </c>
      <c r="E13" s="162">
        <v>19.185755726718014</v>
      </c>
      <c r="F13" s="162">
        <v>13.365438202889438</v>
      </c>
      <c r="G13" s="146"/>
      <c r="I13" s="132"/>
    </row>
    <row r="14" spans="1:9">
      <c r="A14" s="150" t="s">
        <v>162</v>
      </c>
      <c r="B14" s="162">
        <v>34.949445555092119</v>
      </c>
      <c r="C14" s="162">
        <v>31.353823584403628</v>
      </c>
      <c r="D14" s="162">
        <v>1.1505990306203167</v>
      </c>
      <c r="E14" s="162">
        <v>19.309928231385463</v>
      </c>
      <c r="F14" s="162">
        <v>13.23620359849847</v>
      </c>
      <c r="G14" s="146"/>
    </row>
    <row r="15" spans="1:9">
      <c r="C15" s="131"/>
      <c r="D15" s="131"/>
      <c r="E15" s="131"/>
      <c r="F15" s="131"/>
      <c r="G15" s="141"/>
    </row>
    <row r="16" spans="1:9">
      <c r="C16" s="131"/>
      <c r="D16" s="131"/>
      <c r="E16" s="152"/>
      <c r="F16" s="131"/>
      <c r="G16" s="141"/>
    </row>
    <row r="17" spans="2:7">
      <c r="B17" s="159"/>
      <c r="C17" s="160"/>
      <c r="D17" s="160"/>
      <c r="E17" s="160"/>
      <c r="F17" s="160"/>
      <c r="G17" s="161"/>
    </row>
    <row r="18" spans="2:7">
      <c r="B18" s="159"/>
      <c r="C18" s="159"/>
      <c r="D18" s="159"/>
      <c r="E18" s="159"/>
      <c r="F18" s="159"/>
      <c r="G18" s="161"/>
    </row>
    <row r="19" spans="2:7">
      <c r="B19" s="159"/>
      <c r="C19" s="159"/>
      <c r="D19" s="159"/>
      <c r="E19" s="159"/>
      <c r="F19" s="159"/>
      <c r="G19" s="161"/>
    </row>
    <row r="20" spans="2:7">
      <c r="B20" s="159"/>
      <c r="C20" s="159"/>
      <c r="D20" s="159"/>
      <c r="E20" s="159"/>
      <c r="F20" s="159"/>
      <c r="G20" s="161"/>
    </row>
    <row r="21" spans="2:7">
      <c r="B21" s="159"/>
      <c r="C21" s="159"/>
      <c r="D21" s="159"/>
      <c r="E21" s="159"/>
      <c r="F21" s="159"/>
      <c r="G21" s="161"/>
    </row>
    <row r="22" spans="2:7">
      <c r="B22" s="159"/>
      <c r="C22" s="159"/>
      <c r="D22" s="159"/>
      <c r="E22" s="159"/>
      <c r="F22" s="159"/>
      <c r="G22" s="161"/>
    </row>
    <row r="23" spans="2:7">
      <c r="B23" s="159"/>
      <c r="C23" s="159"/>
      <c r="D23" s="159"/>
      <c r="E23" s="159"/>
      <c r="F23" s="159"/>
      <c r="G23" s="161"/>
    </row>
    <row r="24" spans="2:7">
      <c r="B24" s="159"/>
      <c r="C24" s="159"/>
      <c r="D24" s="159"/>
      <c r="E24" s="159"/>
      <c r="F24" s="159"/>
      <c r="G24" s="161"/>
    </row>
    <row r="25" spans="2:7">
      <c r="B25" s="159"/>
      <c r="C25" s="159"/>
      <c r="D25" s="159"/>
      <c r="E25" s="159"/>
      <c r="F25" s="159"/>
      <c r="G25" s="161"/>
    </row>
    <row r="26" spans="2:7">
      <c r="B26" s="159"/>
      <c r="C26" s="159"/>
      <c r="D26" s="159"/>
      <c r="E26" s="159"/>
      <c r="F26" s="159"/>
      <c r="G26" s="161"/>
    </row>
    <row r="27" spans="2:7">
      <c r="B27" s="159"/>
      <c r="C27" s="159"/>
      <c r="D27" s="159"/>
      <c r="E27" s="159"/>
      <c r="F27" s="159"/>
      <c r="G27" s="159"/>
    </row>
    <row r="28" spans="2:7">
      <c r="B28" s="159"/>
      <c r="C28" s="159"/>
      <c r="D28" s="159"/>
      <c r="E28" s="159"/>
      <c r="F28" s="159"/>
      <c r="G28" s="159"/>
    </row>
    <row r="29" spans="2:7">
      <c r="B29" s="159"/>
      <c r="C29" s="159"/>
      <c r="D29" s="159"/>
      <c r="E29" s="159"/>
      <c r="F29" s="159"/>
      <c r="G29" s="159"/>
    </row>
    <row r="30" spans="2:7">
      <c r="B30" s="159"/>
      <c r="C30" s="159"/>
      <c r="D30" s="159"/>
      <c r="E30" s="159"/>
      <c r="F30" s="159"/>
    </row>
    <row r="31" spans="2:7">
      <c r="B31" s="159"/>
      <c r="C31" s="159"/>
      <c r="D31" s="159"/>
      <c r="E31" s="159"/>
      <c r="F31" s="159"/>
    </row>
    <row r="32" spans="2:7">
      <c r="B32" s="159"/>
      <c r="C32" s="159"/>
      <c r="D32" s="159"/>
      <c r="E32" s="159"/>
      <c r="F32" s="159"/>
    </row>
    <row r="33" spans="2:6">
      <c r="B33" s="159"/>
      <c r="C33" s="159"/>
      <c r="D33" s="159"/>
      <c r="E33" s="159"/>
      <c r="F33" s="159"/>
    </row>
    <row r="34" spans="2:6">
      <c r="C34" s="12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5E29-63F8-4719-A6B4-47EE34BDE6CF}">
  <dimension ref="A1:G270"/>
  <sheetViews>
    <sheetView workbookViewId="0"/>
  </sheetViews>
  <sheetFormatPr defaultColWidth="8.88671875" defaultRowHeight="13.2"/>
  <cols>
    <col min="1" max="1" width="13.109375" style="130" customWidth="1"/>
    <col min="2" max="2" width="12" style="130" bestFit="1" customWidth="1"/>
    <col min="3" max="3" width="10.6640625" style="130" bestFit="1" customWidth="1"/>
    <col min="4" max="4" width="14.5546875" style="130" customWidth="1"/>
    <col min="5" max="16384" width="8.88671875" style="130"/>
  </cols>
  <sheetData>
    <row r="1" spans="1:7" ht="26.4">
      <c r="A1" s="147" t="s">
        <v>148</v>
      </c>
      <c r="B1" s="151" t="s">
        <v>160</v>
      </c>
      <c r="C1" s="151" t="s">
        <v>14</v>
      </c>
      <c r="D1" s="151" t="s">
        <v>26</v>
      </c>
      <c r="E1" s="134"/>
    </row>
    <row r="2" spans="1:7">
      <c r="A2" s="113" t="s">
        <v>107</v>
      </c>
      <c r="B2" s="40">
        <v>4.3529999999999998</v>
      </c>
      <c r="C2" s="111">
        <f>D2/B2</f>
        <v>4.4385481277280041</v>
      </c>
      <c r="D2" s="40">
        <v>19.321000000000002</v>
      </c>
      <c r="E2" s="137"/>
      <c r="F2" s="137"/>
      <c r="G2" s="137"/>
    </row>
    <row r="3" spans="1:7">
      <c r="A3" s="113" t="s">
        <v>108</v>
      </c>
      <c r="B3" s="40">
        <v>4.5259999999999998</v>
      </c>
      <c r="C3" s="111">
        <f t="shared" ref="C3:C15" si="0">D3/B3</f>
        <v>4.4544851966416266</v>
      </c>
      <c r="D3" s="40">
        <v>20.161000000000001</v>
      </c>
      <c r="E3" s="137"/>
      <c r="F3" s="137"/>
      <c r="G3" s="137"/>
    </row>
    <row r="4" spans="1:7">
      <c r="A4" s="113" t="s">
        <v>109</v>
      </c>
      <c r="B4" s="40">
        <v>4.6890000000000001</v>
      </c>
      <c r="C4" s="111">
        <f t="shared" si="0"/>
        <v>4.2394966943911285</v>
      </c>
      <c r="D4" s="40">
        <v>19.879000000000001</v>
      </c>
      <c r="E4" s="137"/>
      <c r="F4" s="137"/>
      <c r="G4" s="137"/>
    </row>
    <row r="5" spans="1:7">
      <c r="A5" s="133" t="s">
        <v>110</v>
      </c>
      <c r="B5" s="40">
        <v>4.8</v>
      </c>
      <c r="C5" s="111">
        <f t="shared" si="0"/>
        <v>3.6875</v>
      </c>
      <c r="D5" s="40">
        <v>17.7</v>
      </c>
      <c r="E5" s="137"/>
      <c r="F5" s="137"/>
      <c r="G5" s="137"/>
    </row>
    <row r="6" spans="1:7">
      <c r="A6" s="133" t="s">
        <v>111</v>
      </c>
      <c r="B6" s="40">
        <v>4.9000000000000004</v>
      </c>
      <c r="C6" s="111">
        <f t="shared" si="0"/>
        <v>3.8485714285714283</v>
      </c>
      <c r="D6" s="40">
        <v>18.858000000000001</v>
      </c>
      <c r="E6" s="137"/>
      <c r="F6" s="137"/>
      <c r="G6" s="137"/>
    </row>
    <row r="7" spans="1:7">
      <c r="A7" s="133" t="s">
        <v>112</v>
      </c>
      <c r="B7" s="40">
        <v>5.2</v>
      </c>
      <c r="C7" s="111">
        <f t="shared" si="0"/>
        <v>3.7851923076923075</v>
      </c>
      <c r="D7" s="40">
        <v>19.683</v>
      </c>
      <c r="E7" s="137"/>
      <c r="F7" s="137"/>
      <c r="G7" s="137"/>
    </row>
    <row r="8" spans="1:7">
      <c r="A8" s="133" t="s">
        <v>113</v>
      </c>
      <c r="B8" s="40">
        <v>5.3</v>
      </c>
      <c r="C8" s="111">
        <f t="shared" si="0"/>
        <v>3.9245283018867929</v>
      </c>
      <c r="D8" s="40">
        <v>20.8</v>
      </c>
      <c r="E8" s="137"/>
      <c r="F8" s="137"/>
      <c r="G8" s="137"/>
    </row>
    <row r="9" spans="1:7">
      <c r="A9" s="133" t="s">
        <v>114</v>
      </c>
      <c r="B9" s="40">
        <v>5.35</v>
      </c>
      <c r="C9" s="111">
        <f t="shared" si="0"/>
        <v>3.5990654205607475</v>
      </c>
      <c r="D9" s="40">
        <v>19.254999999999999</v>
      </c>
      <c r="E9" s="137"/>
      <c r="F9" s="137"/>
      <c r="G9" s="137"/>
    </row>
    <row r="10" spans="1:7">
      <c r="A10" s="133" t="s">
        <v>34</v>
      </c>
      <c r="B10" s="40">
        <v>5.4</v>
      </c>
      <c r="C10" s="111">
        <f t="shared" si="0"/>
        <v>3.3062962962962961</v>
      </c>
      <c r="D10" s="40">
        <v>17.853999999999999</v>
      </c>
      <c r="E10" s="137"/>
      <c r="F10" s="137"/>
      <c r="G10" s="137"/>
    </row>
    <row r="11" spans="1:7">
      <c r="A11" s="133" t="s">
        <v>37</v>
      </c>
      <c r="B11" s="40">
        <v>5.45</v>
      </c>
      <c r="C11" s="111">
        <f t="shared" si="0"/>
        <v>3.3306422018348623</v>
      </c>
      <c r="D11" s="40">
        <v>18.152000000000001</v>
      </c>
      <c r="E11" s="137"/>
      <c r="F11" s="137"/>
      <c r="G11" s="137"/>
    </row>
    <row r="12" spans="1:7">
      <c r="A12" s="150" t="s">
        <v>168</v>
      </c>
      <c r="B12" s="40">
        <v>5.5</v>
      </c>
      <c r="C12" s="111">
        <f t="shared" si="0"/>
        <v>3.4363636363636361</v>
      </c>
      <c r="D12" s="40">
        <v>18.899999999999999</v>
      </c>
      <c r="E12" s="137"/>
      <c r="F12" s="137"/>
      <c r="G12" s="137"/>
    </row>
    <row r="13" spans="1:7">
      <c r="A13" s="150" t="s">
        <v>167</v>
      </c>
      <c r="B13" s="40">
        <v>5.5</v>
      </c>
      <c r="C13" s="111">
        <f t="shared" si="0"/>
        <v>3.3818181818181823</v>
      </c>
      <c r="D13" s="40">
        <v>18.600000000000001</v>
      </c>
      <c r="E13" s="137"/>
      <c r="F13" s="137"/>
    </row>
    <row r="14" spans="1:7">
      <c r="A14" s="150" t="s">
        <v>161</v>
      </c>
      <c r="B14" s="40">
        <v>5.55</v>
      </c>
      <c r="C14" s="111">
        <f t="shared" si="0"/>
        <v>3.4774774774774779</v>
      </c>
      <c r="D14" s="40">
        <v>19.3</v>
      </c>
      <c r="E14" s="137"/>
      <c r="F14" s="137"/>
    </row>
    <row r="15" spans="1:7">
      <c r="A15" s="150" t="s">
        <v>162</v>
      </c>
      <c r="B15" s="40">
        <v>5.55</v>
      </c>
      <c r="C15" s="111">
        <f t="shared" si="0"/>
        <v>3.4234234234234235</v>
      </c>
      <c r="D15" s="40">
        <v>19</v>
      </c>
      <c r="E15" s="137"/>
      <c r="F15" s="137"/>
    </row>
    <row r="16" spans="1:7">
      <c r="A16" s="133"/>
      <c r="B16" s="99"/>
      <c r="C16" s="99"/>
      <c r="D16" s="99"/>
      <c r="E16" s="137"/>
      <c r="F16" s="137"/>
    </row>
    <row r="17" spans="1:6">
      <c r="A17" s="133"/>
      <c r="B17" s="99"/>
      <c r="C17" s="99"/>
      <c r="D17" s="99"/>
      <c r="E17" s="137"/>
      <c r="F17" s="137"/>
    </row>
    <row r="18" spans="1:6">
      <c r="A18" s="133"/>
      <c r="B18" s="99"/>
      <c r="C18" s="99"/>
      <c r="D18" s="99"/>
      <c r="E18" s="137"/>
      <c r="F18" s="137"/>
    </row>
    <row r="19" spans="1:6">
      <c r="A19" s="133"/>
      <c r="B19" s="99"/>
      <c r="C19" s="99"/>
      <c r="D19" s="99"/>
      <c r="E19" s="137"/>
      <c r="F19" s="137"/>
    </row>
    <row r="20" spans="1:6">
      <c r="A20" s="133"/>
      <c r="B20" s="99"/>
      <c r="C20" s="99"/>
      <c r="D20" s="99"/>
      <c r="E20" s="137"/>
      <c r="F20" s="137"/>
    </row>
    <row r="21" spans="1:6">
      <c r="A21" s="133"/>
      <c r="B21" s="99"/>
      <c r="C21" s="99"/>
      <c r="D21" s="99"/>
      <c r="E21" s="137"/>
      <c r="F21" s="137"/>
    </row>
    <row r="22" spans="1:6">
      <c r="A22" s="133"/>
      <c r="B22" s="99"/>
      <c r="C22" s="99"/>
      <c r="D22" s="99"/>
      <c r="E22" s="137"/>
      <c r="F22" s="137"/>
    </row>
    <row r="23" spans="1:6">
      <c r="A23" s="133"/>
      <c r="B23" s="99"/>
      <c r="C23" s="99"/>
      <c r="D23" s="99"/>
      <c r="E23" s="137"/>
      <c r="F23" s="137"/>
    </row>
    <row r="24" spans="1:6">
      <c r="A24" s="133"/>
      <c r="B24" s="99"/>
      <c r="C24" s="99"/>
      <c r="D24" s="99"/>
      <c r="E24" s="137"/>
      <c r="F24" s="137"/>
    </row>
    <row r="25" spans="1:6">
      <c r="A25" s="133"/>
      <c r="B25" s="99"/>
      <c r="C25" s="99"/>
      <c r="D25" s="99"/>
      <c r="E25" s="137"/>
      <c r="F25" s="137"/>
    </row>
    <row r="26" spans="1:6">
      <c r="A26" s="133"/>
      <c r="B26" s="99"/>
      <c r="C26" s="99"/>
      <c r="D26" s="99"/>
      <c r="E26" s="137"/>
      <c r="F26" s="137"/>
    </row>
    <row r="27" spans="1:6">
      <c r="A27" s="133"/>
      <c r="B27" s="99"/>
      <c r="C27" s="99"/>
      <c r="D27" s="99"/>
      <c r="E27" s="137"/>
      <c r="F27" s="137"/>
    </row>
    <row r="28" spans="1:6">
      <c r="A28" s="133"/>
      <c r="B28" s="99"/>
      <c r="C28" s="99"/>
      <c r="D28" s="99"/>
      <c r="F28" s="137"/>
    </row>
    <row r="29" spans="1:6">
      <c r="A29" s="133"/>
      <c r="B29" s="99"/>
      <c r="C29" s="99"/>
      <c r="D29" s="99"/>
      <c r="E29" s="137"/>
      <c r="F29" s="137"/>
    </row>
    <row r="30" spans="1:6">
      <c r="A30" s="133"/>
      <c r="B30" s="99"/>
      <c r="C30" s="99"/>
      <c r="D30" s="99"/>
      <c r="E30" s="137"/>
      <c r="F30" s="137"/>
    </row>
    <row r="31" spans="1:6">
      <c r="A31" s="133"/>
      <c r="B31" s="99"/>
      <c r="C31" s="99"/>
      <c r="D31" s="99"/>
      <c r="E31" s="137"/>
      <c r="F31" s="137"/>
    </row>
    <row r="32" spans="1:6">
      <c r="A32" s="135"/>
      <c r="B32" s="99"/>
      <c r="C32" s="99"/>
      <c r="D32" s="99"/>
      <c r="E32" s="137"/>
      <c r="F32" s="137"/>
    </row>
    <row r="33" spans="1:6">
      <c r="A33" s="135"/>
      <c r="B33" s="99"/>
      <c r="C33" s="99"/>
      <c r="D33" s="99"/>
      <c r="E33" s="137"/>
      <c r="F33" s="137"/>
    </row>
    <row r="34" spans="1:6">
      <c r="A34" s="135"/>
      <c r="B34" s="99"/>
      <c r="C34" s="99"/>
      <c r="D34" s="99"/>
      <c r="E34" s="137"/>
      <c r="F34" s="137"/>
    </row>
    <row r="35" spans="1:6">
      <c r="A35" s="135"/>
      <c r="B35" s="136"/>
      <c r="C35" s="136"/>
      <c r="D35" s="137"/>
      <c r="E35" s="137"/>
      <c r="F35" s="137"/>
    </row>
    <row r="36" spans="1:6">
      <c r="A36" s="135"/>
      <c r="B36" s="136"/>
      <c r="C36" s="136"/>
      <c r="D36" s="137"/>
      <c r="E36" s="137"/>
      <c r="F36" s="137"/>
    </row>
    <row r="37" spans="1:6">
      <c r="A37" s="135"/>
      <c r="B37" s="136"/>
      <c r="C37" s="136"/>
      <c r="D37" s="137"/>
      <c r="E37" s="137"/>
      <c r="F37" s="137"/>
    </row>
    <row r="38" spans="1:6">
      <c r="A38" s="135"/>
      <c r="B38" s="136"/>
      <c r="C38" s="136"/>
      <c r="D38" s="137"/>
      <c r="E38" s="137"/>
      <c r="F38" s="137"/>
    </row>
    <row r="39" spans="1:6">
      <c r="A39" s="135"/>
      <c r="B39" s="136"/>
      <c r="C39" s="136"/>
      <c r="D39" s="137"/>
      <c r="E39" s="137"/>
      <c r="F39" s="137"/>
    </row>
    <row r="40" spans="1:6">
      <c r="A40" s="135"/>
      <c r="B40" s="136"/>
      <c r="C40" s="136"/>
      <c r="D40" s="137"/>
      <c r="E40" s="137"/>
      <c r="F40" s="137"/>
    </row>
    <row r="41" spans="1:6">
      <c r="A41" s="135"/>
      <c r="B41" s="136"/>
      <c r="C41" s="136"/>
      <c r="D41" s="137"/>
      <c r="E41" s="137"/>
      <c r="F41" s="137"/>
    </row>
    <row r="42" spans="1:6">
      <c r="A42" s="135"/>
      <c r="B42" s="136"/>
      <c r="C42" s="136"/>
      <c r="D42" s="137"/>
      <c r="E42" s="137"/>
      <c r="F42" s="137"/>
    </row>
    <row r="43" spans="1:6">
      <c r="A43" s="135"/>
      <c r="B43" s="136"/>
      <c r="C43" s="136"/>
      <c r="D43" s="137"/>
      <c r="E43" s="137"/>
      <c r="F43" s="137"/>
    </row>
    <row r="44" spans="1:6">
      <c r="A44" s="135"/>
      <c r="B44" s="136"/>
      <c r="C44" s="136"/>
      <c r="D44" s="137"/>
      <c r="E44" s="137"/>
      <c r="F44" s="137"/>
    </row>
    <row r="45" spans="1:6">
      <c r="A45" s="135"/>
      <c r="B45" s="136"/>
      <c r="C45" s="136"/>
      <c r="D45" s="137"/>
      <c r="E45" s="137"/>
      <c r="F45" s="137"/>
    </row>
    <row r="46" spans="1:6">
      <c r="A46" s="135"/>
      <c r="B46" s="136"/>
      <c r="C46" s="136"/>
      <c r="D46" s="137"/>
      <c r="E46" s="137"/>
      <c r="F46" s="137"/>
    </row>
    <row r="47" spans="1:6">
      <c r="A47" s="135"/>
      <c r="B47" s="136"/>
      <c r="C47" s="136"/>
      <c r="D47" s="137"/>
      <c r="E47" s="137"/>
      <c r="F47" s="137"/>
    </row>
    <row r="48" spans="1:6">
      <c r="A48" s="135"/>
      <c r="B48" s="136"/>
      <c r="C48" s="136"/>
      <c r="D48" s="137"/>
      <c r="E48" s="137"/>
      <c r="F48" s="137"/>
    </row>
    <row r="49" spans="1:6">
      <c r="A49" s="135"/>
      <c r="B49" s="136"/>
      <c r="C49" s="136"/>
      <c r="D49" s="137"/>
      <c r="E49" s="137"/>
      <c r="F49" s="137"/>
    </row>
    <row r="50" spans="1:6">
      <c r="A50" s="135"/>
      <c r="B50" s="136"/>
      <c r="C50" s="136"/>
      <c r="D50" s="137"/>
      <c r="E50" s="137"/>
      <c r="F50" s="137"/>
    </row>
    <row r="51" spans="1:6">
      <c r="A51" s="135"/>
      <c r="B51" s="136"/>
      <c r="C51" s="136"/>
      <c r="D51" s="137"/>
      <c r="E51" s="137"/>
      <c r="F51" s="137"/>
    </row>
    <row r="52" spans="1:6">
      <c r="A52" s="135"/>
      <c r="B52" s="136"/>
      <c r="C52" s="136"/>
      <c r="D52" s="137"/>
      <c r="E52" s="137"/>
      <c r="F52" s="137"/>
    </row>
    <row r="53" spans="1:6">
      <c r="A53" s="135"/>
      <c r="B53" s="136"/>
      <c r="C53" s="136"/>
      <c r="D53" s="137"/>
      <c r="E53" s="137"/>
      <c r="F53" s="137"/>
    </row>
    <row r="54" spans="1:6">
      <c r="A54" s="135"/>
      <c r="B54" s="136"/>
      <c r="C54" s="136"/>
      <c r="D54" s="137"/>
      <c r="E54" s="137"/>
      <c r="F54" s="137"/>
    </row>
    <row r="55" spans="1:6">
      <c r="A55" s="135"/>
      <c r="D55" s="137"/>
      <c r="E55" s="137"/>
      <c r="F55" s="137"/>
    </row>
    <row r="56" spans="1:6">
      <c r="A56" s="135"/>
    </row>
    <row r="57" spans="1:6">
      <c r="A57" s="135"/>
    </row>
    <row r="58" spans="1:6">
      <c r="A58" s="135"/>
    </row>
    <row r="59" spans="1:6">
      <c r="A59" s="135"/>
    </row>
    <row r="60" spans="1:6">
      <c r="A60" s="135"/>
    </row>
    <row r="61" spans="1:6">
      <c r="A61" s="135"/>
    </row>
    <row r="62" spans="1:6">
      <c r="A62" s="135"/>
    </row>
    <row r="63" spans="1:6">
      <c r="A63" s="135"/>
    </row>
    <row r="64" spans="1:6">
      <c r="A64" s="135"/>
    </row>
    <row r="65" spans="1:1">
      <c r="A65" s="135"/>
    </row>
    <row r="66" spans="1:1">
      <c r="A66" s="135"/>
    </row>
    <row r="67" spans="1:1">
      <c r="A67" s="135"/>
    </row>
    <row r="68" spans="1:1">
      <c r="A68" s="135"/>
    </row>
    <row r="69" spans="1:1">
      <c r="A69" s="135"/>
    </row>
    <row r="70" spans="1:1">
      <c r="A70" s="135"/>
    </row>
    <row r="71" spans="1:1">
      <c r="A71" s="135"/>
    </row>
    <row r="72" spans="1:1">
      <c r="A72" s="135"/>
    </row>
    <row r="73" spans="1:1">
      <c r="A73" s="135"/>
    </row>
    <row r="74" spans="1:1">
      <c r="A74" s="135"/>
    </row>
    <row r="75" spans="1:1">
      <c r="A75" s="135"/>
    </row>
    <row r="76" spans="1:1">
      <c r="A76" s="135"/>
    </row>
    <row r="77" spans="1:1">
      <c r="A77" s="135"/>
    </row>
    <row r="78" spans="1:1">
      <c r="A78" s="135"/>
    </row>
    <row r="79" spans="1:1">
      <c r="A79" s="135"/>
    </row>
    <row r="80" spans="1:1">
      <c r="A80" s="135"/>
    </row>
    <row r="81" spans="1:1">
      <c r="A81" s="135"/>
    </row>
    <row r="82" spans="1:1">
      <c r="A82" s="135"/>
    </row>
    <row r="83" spans="1:1">
      <c r="A83" s="135"/>
    </row>
    <row r="84" spans="1:1">
      <c r="A84" s="135"/>
    </row>
    <row r="85" spans="1:1">
      <c r="A85" s="135"/>
    </row>
    <row r="86" spans="1:1">
      <c r="A86" s="135"/>
    </row>
    <row r="87" spans="1:1">
      <c r="A87" s="135"/>
    </row>
    <row r="88" spans="1:1">
      <c r="A88" s="135"/>
    </row>
    <row r="89" spans="1:1">
      <c r="A89" s="135"/>
    </row>
    <row r="90" spans="1:1">
      <c r="A90" s="135"/>
    </row>
    <row r="91" spans="1:1">
      <c r="A91" s="135"/>
    </row>
    <row r="92" spans="1:1">
      <c r="A92" s="135"/>
    </row>
    <row r="93" spans="1:1">
      <c r="A93" s="135"/>
    </row>
    <row r="94" spans="1:1">
      <c r="A94" s="135"/>
    </row>
    <row r="95" spans="1:1">
      <c r="A95" s="135"/>
    </row>
    <row r="96" spans="1:1">
      <c r="A96" s="135"/>
    </row>
    <row r="97" spans="1:1">
      <c r="A97" s="135"/>
    </row>
    <row r="98" spans="1:1">
      <c r="A98" s="135"/>
    </row>
    <row r="99" spans="1:1">
      <c r="A99" s="135"/>
    </row>
    <row r="100" spans="1:1">
      <c r="A100" s="135"/>
    </row>
    <row r="101" spans="1:1">
      <c r="A101" s="135"/>
    </row>
    <row r="102" spans="1:1">
      <c r="A102" s="135"/>
    </row>
    <row r="103" spans="1:1">
      <c r="A103" s="135"/>
    </row>
    <row r="104" spans="1:1">
      <c r="A104" s="135"/>
    </row>
    <row r="105" spans="1:1">
      <c r="A105" s="135"/>
    </row>
    <row r="106" spans="1:1">
      <c r="A106" s="135"/>
    </row>
    <row r="107" spans="1:1">
      <c r="A107" s="135"/>
    </row>
    <row r="108" spans="1:1">
      <c r="A108" s="135"/>
    </row>
    <row r="109" spans="1:1">
      <c r="A109" s="135"/>
    </row>
    <row r="110" spans="1:1">
      <c r="A110" s="135"/>
    </row>
    <row r="111" spans="1:1">
      <c r="A111" s="135"/>
    </row>
    <row r="112" spans="1:1">
      <c r="A112" s="135"/>
    </row>
    <row r="113" spans="1:1">
      <c r="A113" s="135"/>
    </row>
    <row r="114" spans="1:1">
      <c r="A114" s="135"/>
    </row>
    <row r="115" spans="1:1">
      <c r="A115" s="135"/>
    </row>
    <row r="116" spans="1:1">
      <c r="A116" s="135"/>
    </row>
    <row r="117" spans="1:1">
      <c r="A117" s="135"/>
    </row>
    <row r="118" spans="1:1">
      <c r="A118" s="135"/>
    </row>
    <row r="119" spans="1:1">
      <c r="A119" s="135"/>
    </row>
    <row r="120" spans="1:1">
      <c r="A120" s="135"/>
    </row>
    <row r="121" spans="1:1">
      <c r="A121" s="135"/>
    </row>
    <row r="122" spans="1:1">
      <c r="A122" s="135"/>
    </row>
    <row r="123" spans="1:1">
      <c r="A123" s="135"/>
    </row>
    <row r="124" spans="1:1">
      <c r="A124" s="135"/>
    </row>
    <row r="125" spans="1:1">
      <c r="A125" s="135"/>
    </row>
    <row r="126" spans="1:1">
      <c r="A126" s="135"/>
    </row>
    <row r="127" spans="1:1">
      <c r="A127" s="135"/>
    </row>
    <row r="128" spans="1:1">
      <c r="A128" s="135"/>
    </row>
    <row r="129" spans="1:1">
      <c r="A129" s="135"/>
    </row>
    <row r="130" spans="1:1">
      <c r="A130" s="135"/>
    </row>
    <row r="131" spans="1:1">
      <c r="A131" s="135"/>
    </row>
    <row r="132" spans="1:1">
      <c r="A132" s="135"/>
    </row>
    <row r="133" spans="1:1">
      <c r="A133" s="135"/>
    </row>
    <row r="134" spans="1:1">
      <c r="A134" s="135"/>
    </row>
    <row r="135" spans="1:1">
      <c r="A135" s="135"/>
    </row>
    <row r="136" spans="1:1">
      <c r="A136" s="135"/>
    </row>
    <row r="137" spans="1:1">
      <c r="A137" s="135"/>
    </row>
    <row r="138" spans="1:1">
      <c r="A138" s="135"/>
    </row>
    <row r="139" spans="1:1">
      <c r="A139" s="135"/>
    </row>
    <row r="140" spans="1:1">
      <c r="A140" s="135"/>
    </row>
    <row r="141" spans="1:1">
      <c r="A141" s="135"/>
    </row>
    <row r="142" spans="1:1">
      <c r="A142" s="135"/>
    </row>
    <row r="143" spans="1:1">
      <c r="A143" s="135"/>
    </row>
    <row r="144" spans="1:1">
      <c r="A144" s="135"/>
    </row>
    <row r="145" spans="1:1">
      <c r="A145" s="135"/>
    </row>
    <row r="146" spans="1:1">
      <c r="A146" s="135"/>
    </row>
    <row r="147" spans="1:1">
      <c r="A147" s="135"/>
    </row>
    <row r="148" spans="1:1">
      <c r="A148" s="135"/>
    </row>
    <row r="149" spans="1:1">
      <c r="A149" s="135"/>
    </row>
    <row r="150" spans="1:1">
      <c r="A150" s="135"/>
    </row>
    <row r="151" spans="1:1">
      <c r="A151" s="135"/>
    </row>
    <row r="152" spans="1:1">
      <c r="A152" s="135"/>
    </row>
    <row r="153" spans="1:1">
      <c r="A153" s="135"/>
    </row>
    <row r="154" spans="1:1">
      <c r="A154" s="135"/>
    </row>
    <row r="155" spans="1:1">
      <c r="A155" s="135"/>
    </row>
    <row r="156" spans="1:1">
      <c r="A156" s="135"/>
    </row>
    <row r="157" spans="1:1">
      <c r="A157" s="135"/>
    </row>
    <row r="158" spans="1:1">
      <c r="A158" s="135"/>
    </row>
    <row r="159" spans="1:1">
      <c r="A159" s="135"/>
    </row>
    <row r="160" spans="1:1">
      <c r="A160" s="135"/>
    </row>
    <row r="161" spans="1:1">
      <c r="A161" s="135"/>
    </row>
    <row r="162" spans="1:1">
      <c r="A162" s="135"/>
    </row>
    <row r="163" spans="1:1">
      <c r="A163" s="135"/>
    </row>
    <row r="164" spans="1:1">
      <c r="A164" s="135"/>
    </row>
    <row r="165" spans="1:1">
      <c r="A165" s="135"/>
    </row>
    <row r="166" spans="1:1">
      <c r="A166" s="135"/>
    </row>
    <row r="167" spans="1:1">
      <c r="A167" s="135"/>
    </row>
    <row r="168" spans="1:1">
      <c r="A168" s="135"/>
    </row>
    <row r="169" spans="1:1">
      <c r="A169" s="135"/>
    </row>
    <row r="170" spans="1:1">
      <c r="A170" s="135"/>
    </row>
    <row r="171" spans="1:1">
      <c r="A171" s="135"/>
    </row>
    <row r="172" spans="1:1">
      <c r="A172" s="135"/>
    </row>
    <row r="173" spans="1:1">
      <c r="A173" s="135"/>
    </row>
    <row r="174" spans="1:1">
      <c r="A174" s="135"/>
    </row>
    <row r="175" spans="1:1">
      <c r="A175" s="135"/>
    </row>
    <row r="176" spans="1:1">
      <c r="A176" s="135"/>
    </row>
    <row r="177" spans="1:1">
      <c r="A177" s="135"/>
    </row>
    <row r="178" spans="1:1">
      <c r="A178" s="135"/>
    </row>
    <row r="179" spans="1:1">
      <c r="A179" s="135"/>
    </row>
    <row r="180" spans="1:1">
      <c r="A180" s="135"/>
    </row>
    <row r="181" spans="1:1">
      <c r="A181" s="135"/>
    </row>
    <row r="182" spans="1:1">
      <c r="A182" s="135"/>
    </row>
    <row r="183" spans="1:1">
      <c r="A183" s="135"/>
    </row>
    <row r="184" spans="1:1">
      <c r="A184" s="135"/>
    </row>
    <row r="185" spans="1:1">
      <c r="A185" s="135"/>
    </row>
    <row r="186" spans="1:1">
      <c r="A186" s="135"/>
    </row>
    <row r="187" spans="1:1">
      <c r="A187" s="135"/>
    </row>
    <row r="188" spans="1:1">
      <c r="A188" s="135"/>
    </row>
    <row r="189" spans="1:1">
      <c r="A189" s="135"/>
    </row>
    <row r="190" spans="1:1">
      <c r="A190" s="135"/>
    </row>
    <row r="191" spans="1:1">
      <c r="A191" s="135"/>
    </row>
    <row r="192" spans="1:1">
      <c r="A192" s="135"/>
    </row>
    <row r="193" spans="1:1">
      <c r="A193" s="135"/>
    </row>
    <row r="194" spans="1:1">
      <c r="A194" s="135"/>
    </row>
    <row r="195" spans="1:1">
      <c r="A195" s="135"/>
    </row>
    <row r="196" spans="1:1">
      <c r="A196" s="135"/>
    </row>
    <row r="197" spans="1:1">
      <c r="A197" s="135"/>
    </row>
    <row r="198" spans="1:1">
      <c r="A198" s="135"/>
    </row>
    <row r="199" spans="1:1">
      <c r="A199" s="135"/>
    </row>
    <row r="200" spans="1:1">
      <c r="A200" s="135"/>
    </row>
    <row r="201" spans="1:1">
      <c r="A201" s="138"/>
    </row>
    <row r="202" spans="1:1">
      <c r="A202" s="138"/>
    </row>
    <row r="203" spans="1:1">
      <c r="A203" s="138"/>
    </row>
    <row r="204" spans="1:1">
      <c r="A204" s="138"/>
    </row>
    <row r="205" spans="1:1">
      <c r="A205" s="138"/>
    </row>
    <row r="206" spans="1:1">
      <c r="A206" s="135"/>
    </row>
    <row r="207" spans="1:1">
      <c r="A207" s="135"/>
    </row>
    <row r="208" spans="1:1">
      <c r="A208" s="135"/>
    </row>
    <row r="209" spans="1:1">
      <c r="A209" s="135"/>
    </row>
    <row r="210" spans="1:1">
      <c r="A210" s="135"/>
    </row>
    <row r="211" spans="1:1">
      <c r="A211" s="135"/>
    </row>
    <row r="212" spans="1:1">
      <c r="A212" s="135"/>
    </row>
    <row r="213" spans="1:1">
      <c r="A213" s="135"/>
    </row>
    <row r="214" spans="1:1">
      <c r="A214" s="135"/>
    </row>
    <row r="215" spans="1:1">
      <c r="A215" s="135"/>
    </row>
    <row r="216" spans="1:1">
      <c r="A216" s="135"/>
    </row>
    <row r="217" spans="1:1">
      <c r="A217" s="135"/>
    </row>
    <row r="218" spans="1:1">
      <c r="A218" s="135"/>
    </row>
    <row r="219" spans="1:1">
      <c r="A219" s="135"/>
    </row>
    <row r="220" spans="1:1">
      <c r="A220" s="135"/>
    </row>
    <row r="221" spans="1:1">
      <c r="A221" s="135"/>
    </row>
    <row r="222" spans="1:1">
      <c r="A222" s="135"/>
    </row>
    <row r="223" spans="1:1">
      <c r="A223" s="135"/>
    </row>
    <row r="224" spans="1:1">
      <c r="A224" s="135"/>
    </row>
    <row r="225" spans="1:1">
      <c r="A225" s="135"/>
    </row>
    <row r="226" spans="1:1">
      <c r="A226" s="135"/>
    </row>
    <row r="227" spans="1:1">
      <c r="A227" s="135"/>
    </row>
    <row r="228" spans="1:1">
      <c r="A228" s="135"/>
    </row>
    <row r="229" spans="1:1">
      <c r="A229" s="135"/>
    </row>
    <row r="230" spans="1:1">
      <c r="A230" s="135"/>
    </row>
    <row r="231" spans="1:1">
      <c r="A231" s="135"/>
    </row>
    <row r="232" spans="1:1">
      <c r="A232" s="135"/>
    </row>
    <row r="233" spans="1:1">
      <c r="A233" s="135"/>
    </row>
    <row r="234" spans="1:1">
      <c r="A234" s="135"/>
    </row>
    <row r="235" spans="1:1">
      <c r="A235" s="135"/>
    </row>
    <row r="236" spans="1:1">
      <c r="A236" s="135"/>
    </row>
    <row r="237" spans="1:1">
      <c r="A237" s="135"/>
    </row>
    <row r="238" spans="1:1">
      <c r="A238" s="135"/>
    </row>
    <row r="239" spans="1:1">
      <c r="A239" s="135"/>
    </row>
    <row r="240" spans="1:1">
      <c r="A240" s="135"/>
    </row>
    <row r="241" spans="1:1">
      <c r="A241" s="135"/>
    </row>
    <row r="242" spans="1:1">
      <c r="A242" s="135"/>
    </row>
    <row r="243" spans="1:1">
      <c r="A243" s="135"/>
    </row>
    <row r="244" spans="1:1">
      <c r="A244" s="135"/>
    </row>
    <row r="245" spans="1:1">
      <c r="A245" s="135"/>
    </row>
    <row r="246" spans="1:1">
      <c r="A246" s="135"/>
    </row>
    <row r="247" spans="1:1">
      <c r="A247" s="135"/>
    </row>
    <row r="248" spans="1:1">
      <c r="A248" s="135"/>
    </row>
    <row r="249" spans="1:1">
      <c r="A249" s="135"/>
    </row>
    <row r="250" spans="1:1">
      <c r="A250" s="135"/>
    </row>
    <row r="251" spans="1:1">
      <c r="A251" s="135"/>
    </row>
    <row r="252" spans="1:1">
      <c r="A252" s="135"/>
    </row>
    <row r="253" spans="1:1">
      <c r="A253" s="135"/>
    </row>
    <row r="254" spans="1:1">
      <c r="A254" s="135"/>
    </row>
    <row r="255" spans="1:1">
      <c r="A255" s="135"/>
    </row>
    <row r="256" spans="1:1">
      <c r="A256" s="135"/>
    </row>
    <row r="257" spans="1:1">
      <c r="A257" s="135"/>
    </row>
    <row r="258" spans="1:1">
      <c r="A258" s="135"/>
    </row>
    <row r="259" spans="1:1">
      <c r="A259" s="135"/>
    </row>
    <row r="260" spans="1:1">
      <c r="A260" s="135"/>
    </row>
    <row r="261" spans="1:1">
      <c r="A261" s="135"/>
    </row>
    <row r="262" spans="1:1">
      <c r="A262" s="135"/>
    </row>
    <row r="263" spans="1:1">
      <c r="A263" s="135"/>
    </row>
    <row r="264" spans="1:1">
      <c r="A264" s="135"/>
    </row>
    <row r="265" spans="1:1">
      <c r="A265" s="135"/>
    </row>
    <row r="266" spans="1:1">
      <c r="A266" s="135"/>
    </row>
    <row r="267" spans="1:1">
      <c r="A267" s="135"/>
    </row>
    <row r="268" spans="1:1">
      <c r="A268" s="135"/>
    </row>
    <row r="269" spans="1:1">
      <c r="A269" s="135"/>
    </row>
    <row r="270" spans="1:1">
      <c r="A270" s="13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0"/>
  <sheetViews>
    <sheetView showGridLines="0" zoomScale="70" zoomScaleNormal="70" workbookViewId="0"/>
  </sheetViews>
  <sheetFormatPr defaultColWidth="9.109375" defaultRowHeight="13.2"/>
  <cols>
    <col min="1" max="1" width="21.6640625" customWidth="1"/>
    <col min="2" max="2" width="14.109375" bestFit="1" customWidth="1"/>
    <col min="3" max="3" width="9.5546875" customWidth="1"/>
    <col min="4" max="4" width="26.6640625" customWidth="1"/>
    <col min="5" max="5" width="9.6640625" customWidth="1"/>
    <col min="6" max="6" width="10.6640625" customWidth="1"/>
    <col min="7" max="7" width="8.6640625" bestFit="1" customWidth="1"/>
    <col min="8" max="8" width="9.6640625" customWidth="1"/>
    <col min="9" max="9" width="1.6640625" customWidth="1"/>
    <col min="10" max="10" width="12.44140625" customWidth="1"/>
    <col min="11" max="12" width="10.6640625" customWidth="1"/>
    <col min="13" max="13" width="10.33203125" customWidth="1"/>
    <col min="14" max="14" width="9.6640625" customWidth="1"/>
    <col min="17" max="17" width="15.44140625" bestFit="1" customWidth="1"/>
    <col min="18" max="18" width="10.109375" bestFit="1" customWidth="1"/>
  </cols>
  <sheetData>
    <row r="1" spans="1:23" ht="13.8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3" ht="13.8">
      <c r="A2" s="16"/>
      <c r="B2" s="17" t="s">
        <v>13</v>
      </c>
      <c r="C2" s="124"/>
      <c r="D2" s="18" t="s">
        <v>14</v>
      </c>
      <c r="E2" s="19"/>
      <c r="F2" s="124" t="s">
        <v>15</v>
      </c>
      <c r="G2" s="124"/>
      <c r="H2" s="124"/>
      <c r="I2" s="16"/>
      <c r="J2" s="19"/>
      <c r="K2" s="124"/>
      <c r="L2" s="20" t="s">
        <v>16</v>
      </c>
      <c r="M2" s="124"/>
      <c r="N2" s="16"/>
    </row>
    <row r="3" spans="1:23" ht="13.8">
      <c r="A3" s="16" t="s">
        <v>17</v>
      </c>
      <c r="B3" s="18" t="s">
        <v>18</v>
      </c>
      <c r="C3" s="16" t="s">
        <v>19</v>
      </c>
      <c r="D3" s="18"/>
      <c r="E3" s="21" t="s">
        <v>20</v>
      </c>
      <c r="F3" s="21"/>
      <c r="G3" s="21"/>
      <c r="H3" s="21"/>
      <c r="I3" s="21"/>
      <c r="J3" s="18" t="s">
        <v>21</v>
      </c>
      <c r="K3" s="21" t="s">
        <v>22</v>
      </c>
      <c r="L3" s="21"/>
      <c r="M3" s="21"/>
      <c r="N3" s="21" t="s">
        <v>23</v>
      </c>
    </row>
    <row r="4" spans="1:23" ht="13.8">
      <c r="A4" s="22" t="s">
        <v>24</v>
      </c>
      <c r="B4" s="23"/>
      <c r="C4" s="23"/>
      <c r="D4" s="23"/>
      <c r="E4" s="24" t="s">
        <v>25</v>
      </c>
      <c r="F4" s="24" t="s">
        <v>26</v>
      </c>
      <c r="G4" s="25" t="s">
        <v>27</v>
      </c>
      <c r="H4" s="26" t="s">
        <v>28</v>
      </c>
      <c r="I4" s="25"/>
      <c r="J4" s="25"/>
      <c r="K4" s="25" t="s">
        <v>29</v>
      </c>
      <c r="L4" s="26" t="s">
        <v>30</v>
      </c>
      <c r="M4" s="24" t="s">
        <v>28</v>
      </c>
      <c r="N4" s="25" t="s">
        <v>25</v>
      </c>
      <c r="W4" s="27"/>
    </row>
    <row r="5" spans="1:23" ht="14.4">
      <c r="A5" s="16"/>
      <c r="B5" s="28" t="s">
        <v>31</v>
      </c>
      <c r="C5" s="125"/>
      <c r="D5" s="29" t="s">
        <v>32</v>
      </c>
      <c r="G5" s="28"/>
      <c r="I5" s="28"/>
      <c r="J5" s="28" t="s">
        <v>33</v>
      </c>
      <c r="K5" s="28"/>
      <c r="L5" s="28"/>
      <c r="M5" s="28"/>
      <c r="N5" s="28"/>
      <c r="W5" s="27"/>
    </row>
    <row r="6" spans="1:23" ht="16.5" customHeight="1">
      <c r="A6" s="16" t="s">
        <v>37</v>
      </c>
      <c r="B6" s="30">
        <v>87.194999999999993</v>
      </c>
      <c r="C6" s="30">
        <v>86.311999999999998</v>
      </c>
      <c r="D6" s="30">
        <f>F6/C6</f>
        <v>51.735355454629712</v>
      </c>
      <c r="E6" s="31">
        <v>256.97899999999998</v>
      </c>
      <c r="F6" s="32">
        <f>F27</f>
        <v>4465.3819999999996</v>
      </c>
      <c r="G6" s="33">
        <f>G27</f>
        <v>15.9101740464</v>
      </c>
      <c r="H6" s="33">
        <f>SUM(E6:G6)</f>
        <v>4738.2711740464001</v>
      </c>
      <c r="I6" s="16"/>
      <c r="J6" s="32">
        <f>J27</f>
        <v>2203.8901705391709</v>
      </c>
      <c r="K6" s="32">
        <f t="shared" ref="K6" si="0">M6-L6-J6</f>
        <v>102.34031607682891</v>
      </c>
      <c r="L6" s="33">
        <f>L27</f>
        <v>2157.6466874304001</v>
      </c>
      <c r="M6" s="33">
        <f>H6-N6</f>
        <v>4463.8771740463999</v>
      </c>
      <c r="N6" s="33">
        <f>N26</f>
        <v>274.39400000000001</v>
      </c>
    </row>
    <row r="7" spans="1:23" ht="16.5" customHeight="1">
      <c r="A7" s="16" t="s">
        <v>156</v>
      </c>
      <c r="B7" s="30">
        <v>87.45</v>
      </c>
      <c r="C7" s="30">
        <v>86.335999999999999</v>
      </c>
      <c r="D7" s="30">
        <f>F7/C7</f>
        <v>49.528852390659743</v>
      </c>
      <c r="E7" s="31">
        <f>N6</f>
        <v>274.39400000000001</v>
      </c>
      <c r="F7" s="32">
        <v>4276.1229999999996</v>
      </c>
      <c r="G7" s="33">
        <v>20</v>
      </c>
      <c r="H7" s="33">
        <f>SUM(E7:G7)</f>
        <v>4570.5169999999998</v>
      </c>
      <c r="I7" s="16"/>
      <c r="J7" s="32">
        <v>2220</v>
      </c>
      <c r="K7" s="32">
        <v>120.28</v>
      </c>
      <c r="L7" s="33">
        <v>2000</v>
      </c>
      <c r="M7" s="33">
        <f>SUM(J7:L7)</f>
        <v>4340.2800000000007</v>
      </c>
      <c r="N7" s="33">
        <f>H7-M7</f>
        <v>230.23699999999917</v>
      </c>
      <c r="P7" s="148"/>
    </row>
    <row r="8" spans="1:23" ht="16.5" customHeight="1">
      <c r="A8" s="16" t="s">
        <v>155</v>
      </c>
      <c r="B8" s="30">
        <v>87.504999999999995</v>
      </c>
      <c r="C8" s="30">
        <v>86.7</v>
      </c>
      <c r="D8" s="30">
        <f>F8/C8</f>
        <v>52.018454440599768</v>
      </c>
      <c r="E8" s="31">
        <f>N7</f>
        <v>230.23699999999917</v>
      </c>
      <c r="F8" s="32">
        <v>4510</v>
      </c>
      <c r="G8" s="33">
        <v>20</v>
      </c>
      <c r="H8" s="33">
        <f>SUM(E8:G8)</f>
        <v>4760.2369999999992</v>
      </c>
      <c r="I8" s="16"/>
      <c r="J8" s="32">
        <v>2310</v>
      </c>
      <c r="K8" s="32">
        <v>125.56</v>
      </c>
      <c r="L8" s="33">
        <v>1975</v>
      </c>
      <c r="M8" s="33">
        <f>SUM(J8:L8)</f>
        <v>4410.5599999999995</v>
      </c>
      <c r="N8" s="33">
        <f>H8-M8</f>
        <v>349.67699999999968</v>
      </c>
      <c r="P8" s="148"/>
    </row>
    <row r="9" spans="1:23" ht="16.5" customHeight="1">
      <c r="A9" s="16"/>
      <c r="B9" s="16"/>
      <c r="C9" s="16"/>
      <c r="D9" s="16"/>
      <c r="E9" s="34"/>
      <c r="F9" s="34"/>
      <c r="G9" s="35"/>
      <c r="H9" s="34"/>
      <c r="I9" s="34"/>
      <c r="J9" s="35"/>
      <c r="K9" s="35"/>
      <c r="L9" s="35"/>
      <c r="M9" s="35"/>
      <c r="N9" s="35"/>
    </row>
    <row r="10" spans="1:23" ht="16.5" customHeight="1">
      <c r="A10" s="36" t="s">
        <v>37</v>
      </c>
      <c r="B10" s="106"/>
      <c r="C10" s="106"/>
      <c r="D10" s="106"/>
      <c r="E10" s="38"/>
      <c r="F10" s="39"/>
      <c r="G10" s="6"/>
      <c r="H10" s="13"/>
      <c r="I10" s="106"/>
      <c r="J10" s="13"/>
      <c r="K10" s="37"/>
      <c r="L10" s="6"/>
      <c r="M10" s="6"/>
      <c r="N10" s="13"/>
    </row>
    <row r="11" spans="1:23" ht="16.5" customHeight="1">
      <c r="A11" s="16" t="s">
        <v>38</v>
      </c>
      <c r="B11" s="106"/>
      <c r="C11" s="106"/>
      <c r="D11" s="111"/>
      <c r="E11" s="38"/>
      <c r="F11" s="39"/>
      <c r="G11" s="6">
        <f>(24488.6*36.744)/1000000</f>
        <v>0.89980911839999989</v>
      </c>
      <c r="I11" s="106"/>
      <c r="J11" s="13">
        <f>((4924574*0.907185)*36.744)/1000000</f>
        <v>164.15380766099736</v>
      </c>
      <c r="K11" s="37"/>
      <c r="L11" s="6">
        <f>(2098690.6*36.744)/1000000</f>
        <v>77.11428740640001</v>
      </c>
      <c r="M11" s="6"/>
      <c r="N11" s="13"/>
      <c r="Q11" s="111"/>
    </row>
    <row r="12" spans="1:23" ht="16.5" customHeight="1">
      <c r="A12" s="16" t="s">
        <v>39</v>
      </c>
      <c r="B12" s="106"/>
      <c r="C12" s="106"/>
      <c r="D12" s="111"/>
      <c r="E12" s="38"/>
      <c r="F12" s="39"/>
      <c r="G12" s="6">
        <f>(19229.4*36.744)/1000000</f>
        <v>0.70656507359999998</v>
      </c>
      <c r="I12" s="106"/>
      <c r="J12" s="13">
        <f>((5908157*0.907185)*36.744)/1000000</f>
        <v>196.9401754972055</v>
      </c>
      <c r="K12" s="37"/>
      <c r="L12" s="6">
        <f>(10749625.7*36.744)/1000000</f>
        <v>394.9842467208</v>
      </c>
      <c r="M12" s="6"/>
      <c r="N12" s="13"/>
      <c r="Q12" s="111"/>
    </row>
    <row r="13" spans="1:23" ht="16.5" customHeight="1">
      <c r="A13" s="16" t="s">
        <v>40</v>
      </c>
      <c r="B13" s="106"/>
      <c r="C13" s="106"/>
      <c r="D13" s="111"/>
      <c r="E13" s="38"/>
      <c r="F13" s="39"/>
      <c r="G13" s="6">
        <f>(34894.1*36.744)/1000000</f>
        <v>1.2821488103999998</v>
      </c>
      <c r="I13" s="106"/>
      <c r="J13" s="13">
        <f>((5717943*0.907185)*36.744)/1000000</f>
        <v>190.59965703399854</v>
      </c>
      <c r="K13" s="37"/>
      <c r="L13" s="6">
        <f>(10581460.9*36.744)/1000000</f>
        <v>388.80519930959997</v>
      </c>
      <c r="M13" s="6"/>
      <c r="N13" s="13"/>
      <c r="Q13" s="111"/>
    </row>
    <row r="14" spans="1:23" ht="16.5" customHeight="1">
      <c r="A14" s="16" t="s">
        <v>41</v>
      </c>
      <c r="B14" s="106"/>
      <c r="C14" s="106"/>
      <c r="E14" s="38">
        <f>E6</f>
        <v>256.97899999999998</v>
      </c>
      <c r="F14" s="38">
        <f>4465.382</f>
        <v>4465.3819999999996</v>
      </c>
      <c r="G14" s="6">
        <f>SUM(G11:G13)</f>
        <v>2.8885230023999995</v>
      </c>
      <c r="H14" s="13">
        <f>SUM(E14:G14)</f>
        <v>4725.2495230023997</v>
      </c>
      <c r="I14" s="106"/>
      <c r="J14" s="13">
        <f>SUM(J11:J13)</f>
        <v>551.69364019220143</v>
      </c>
      <c r="K14" s="37">
        <f>M14-L14-J14</f>
        <v>176.1281493733984</v>
      </c>
      <c r="L14" s="6">
        <f>SUM(L11:L13)</f>
        <v>860.90373343679994</v>
      </c>
      <c r="M14" s="6">
        <f>H14-N14</f>
        <v>1588.7255230023998</v>
      </c>
      <c r="N14" s="13">
        <v>3136.5239999999999</v>
      </c>
    </row>
    <row r="15" spans="1:23" ht="16.5" customHeight="1">
      <c r="A15" s="16" t="s">
        <v>42</v>
      </c>
      <c r="B15" s="106"/>
      <c r="C15" s="106"/>
      <c r="D15" s="111"/>
      <c r="E15" s="38"/>
      <c r="F15" s="38"/>
      <c r="G15" s="6">
        <f>(27884.8*36.744)/1000000</f>
        <v>1.0245990912</v>
      </c>
      <c r="H15" s="13"/>
      <c r="I15" s="106"/>
      <c r="J15" s="13">
        <f>((5947222*0.907185)*36.744)/1000000</f>
        <v>198.24235280153209</v>
      </c>
      <c r="K15" s="37"/>
      <c r="L15" s="6">
        <f>(7940701.7*36.744)/1000000</f>
        <v>291.77314326480001</v>
      </c>
      <c r="M15" s="6"/>
      <c r="N15" s="13"/>
      <c r="Q15" s="111"/>
    </row>
    <row r="16" spans="1:23" ht="16.5" customHeight="1">
      <c r="A16" s="16" t="s">
        <v>43</v>
      </c>
      <c r="B16" s="106"/>
      <c r="C16" s="106"/>
      <c r="D16" s="111"/>
      <c r="E16" s="38"/>
      <c r="F16" s="38"/>
      <c r="G16" s="6">
        <f>(23947.4*36.744)/1000000</f>
        <v>0.8799232656</v>
      </c>
      <c r="H16" s="13"/>
      <c r="I16" s="106"/>
      <c r="J16" s="13">
        <f>((5828974*0.907185)*36.744)/1000000</f>
        <v>194.30072060181334</v>
      </c>
      <c r="K16" s="37"/>
      <c r="L16" s="6">
        <f>(6392108.3*36.744)/1000000</f>
        <v>234.87162737520001</v>
      </c>
      <c r="M16" s="6"/>
      <c r="N16" s="13"/>
      <c r="Q16" s="111"/>
    </row>
    <row r="17" spans="1:17" ht="16.5" customHeight="1">
      <c r="A17" s="16" t="s">
        <v>44</v>
      </c>
      <c r="B17" s="106"/>
      <c r="C17" s="106"/>
      <c r="D17" s="111"/>
      <c r="E17" s="38"/>
      <c r="F17" s="38"/>
      <c r="G17" s="6">
        <f>(47248.7*36.744)/1000000</f>
        <v>1.7361062327999999</v>
      </c>
      <c r="H17" s="13"/>
      <c r="I17" s="106"/>
      <c r="J17" s="13">
        <f>((5232453*0.907185)*36.744)/1000000</f>
        <v>174.41652483183492</v>
      </c>
      <c r="K17" s="37"/>
      <c r="L17" s="6">
        <f>(3791255.7*36.744)/1000000</f>
        <v>139.3058994408</v>
      </c>
      <c r="M17" s="6"/>
      <c r="N17" s="13"/>
      <c r="Q17" s="111"/>
    </row>
    <row r="18" spans="1:17" ht="16.5" customHeight="1">
      <c r="A18" s="16" t="s">
        <v>45</v>
      </c>
      <c r="B18" s="106"/>
      <c r="C18" s="106"/>
      <c r="E18" s="38">
        <f>N14</f>
        <v>3136.5239999999999</v>
      </c>
      <c r="F18" s="38"/>
      <c r="G18" s="6">
        <f>SUM(G15:G17)</f>
        <v>3.6406285895999999</v>
      </c>
      <c r="H18" s="13">
        <f>E18+F18+G18</f>
        <v>3140.1646285895999</v>
      </c>
      <c r="I18" s="106"/>
      <c r="J18" s="13">
        <f>SUM(J15:J17)</f>
        <v>566.95959823518035</v>
      </c>
      <c r="K18" s="37">
        <f>M18-L18-J18</f>
        <v>-24.562639726380439</v>
      </c>
      <c r="L18" s="6">
        <f>SUM(L15:L17)</f>
        <v>665.95067008080002</v>
      </c>
      <c r="M18" s="6">
        <f>H18-N18</f>
        <v>1208.3476285895999</v>
      </c>
      <c r="N18" s="13">
        <v>1931.817</v>
      </c>
      <c r="P18" s="40"/>
    </row>
    <row r="19" spans="1:17" ht="16.5" customHeight="1">
      <c r="A19" s="16" t="s">
        <v>46</v>
      </c>
      <c r="B19" s="106"/>
      <c r="C19" s="106"/>
      <c r="D19" s="111"/>
      <c r="E19" s="38"/>
      <c r="F19" s="38"/>
      <c r="G19" s="6">
        <f>(33665.9*36.744)/1000000</f>
        <v>1.2370198296000001</v>
      </c>
      <c r="H19" s="13"/>
      <c r="I19" s="106"/>
      <c r="J19" s="13">
        <f>((5786159*0.907185)*36.744)/1000000</f>
        <v>192.87354227633676</v>
      </c>
      <c r="K19" s="37"/>
      <c r="L19" s="6">
        <f>(3184420.8*36.744)/1000000</f>
        <v>117.00835787519999</v>
      </c>
      <c r="M19" s="6"/>
      <c r="N19" s="13"/>
      <c r="Q19" s="111"/>
    </row>
    <row r="20" spans="1:17" ht="16.5" customHeight="1">
      <c r="A20" s="16" t="s">
        <v>47</v>
      </c>
      <c r="B20" s="106"/>
      <c r="C20" s="106"/>
      <c r="D20" s="111"/>
      <c r="E20" s="38"/>
      <c r="F20" s="38"/>
      <c r="G20" s="6">
        <f>(49190.6*36.744)/1000000</f>
        <v>1.8074594064</v>
      </c>
      <c r="H20" s="13"/>
      <c r="I20" s="106"/>
      <c r="J20" s="13">
        <f>((5426712*0.907185)*36.744)/1000000</f>
        <v>180.89187772985568</v>
      </c>
      <c r="K20" s="37"/>
      <c r="L20" s="6">
        <f>(3657248.5*36.744)/1000000</f>
        <v>134.38193888399999</v>
      </c>
      <c r="M20" s="6"/>
      <c r="N20" s="13"/>
      <c r="Q20" s="111"/>
    </row>
    <row r="21" spans="1:17" ht="16.5" customHeight="1">
      <c r="A21" s="16" t="s">
        <v>48</v>
      </c>
      <c r="B21" s="106"/>
      <c r="C21" s="106"/>
      <c r="D21" s="111"/>
      <c r="E21" s="38"/>
      <c r="F21" s="38"/>
      <c r="G21" s="6">
        <f>(30553.6*36.744)/1000000</f>
        <v>1.1226614784</v>
      </c>
      <c r="H21" s="13"/>
      <c r="I21" s="106"/>
      <c r="J21" s="13">
        <f>((5427160*0.907185)*36.744)/1000000</f>
        <v>180.90681118518239</v>
      </c>
      <c r="K21" s="37"/>
      <c r="L21" s="6">
        <f>(2413962.6*36.744)/1000000</f>
        <v>88.698641774400002</v>
      </c>
      <c r="M21" s="6"/>
      <c r="N21" s="13"/>
      <c r="Q21" s="111"/>
    </row>
    <row r="22" spans="1:17" ht="16.5" customHeight="1">
      <c r="A22" s="16" t="s">
        <v>49</v>
      </c>
      <c r="B22" s="106"/>
      <c r="C22" s="106"/>
      <c r="E22" s="38">
        <f>N18</f>
        <v>1931.817</v>
      </c>
      <c r="F22" s="38"/>
      <c r="G22" s="6">
        <f>SUM(G19:G21)</f>
        <v>4.1671407144000003</v>
      </c>
      <c r="H22" s="13">
        <f>E22+F22+G22</f>
        <v>1935.9841407143999</v>
      </c>
      <c r="I22" s="106"/>
      <c r="J22" s="13">
        <f>SUM(J19:J21)</f>
        <v>554.67223119137486</v>
      </c>
      <c r="K22" s="37">
        <f>M22-L22-J22</f>
        <v>73.697970989425016</v>
      </c>
      <c r="L22" s="6">
        <f>SUM(L19:L21)</f>
        <v>340.08893853360001</v>
      </c>
      <c r="M22" s="6">
        <f>H22-N22</f>
        <v>968.45914071439995</v>
      </c>
      <c r="N22" s="13">
        <v>967.52499999999998</v>
      </c>
    </row>
    <row r="23" spans="1:17" ht="16.5" customHeight="1">
      <c r="A23" s="16" t="s">
        <v>50</v>
      </c>
      <c r="B23" s="106"/>
      <c r="C23" s="106"/>
      <c r="E23" s="38"/>
      <c r="F23" s="38"/>
      <c r="G23" s="6">
        <f>(21134.8*36.744)/1000000</f>
        <v>0.77657709120000007</v>
      </c>
      <c r="H23" s="13"/>
      <c r="I23" s="106"/>
      <c r="J23" s="13">
        <f>((5222412*0.907185)*36.744)/1000000</f>
        <v>174.08182209760369</v>
      </c>
      <c r="K23" s="37"/>
      <c r="L23" s="6">
        <f>(2271040.2*36.744)/1000000</f>
        <v>83.447101108800013</v>
      </c>
      <c r="M23" s="6"/>
      <c r="N23" s="13"/>
    </row>
    <row r="24" spans="1:17" ht="16.5" customHeight="1">
      <c r="A24" s="16" t="s">
        <v>51</v>
      </c>
      <c r="B24" s="106"/>
      <c r="C24" s="106"/>
      <c r="E24" s="38"/>
      <c r="F24" s="38"/>
      <c r="G24" s="6">
        <f>(60079*36.744)/1000000</f>
        <v>2.2075427759999999</v>
      </c>
      <c r="H24" s="13"/>
      <c r="I24" s="106"/>
      <c r="J24" s="13">
        <f>((5441780*0.907185)*36.744)/1000000</f>
        <v>181.39414849963919</v>
      </c>
      <c r="K24" s="37"/>
      <c r="L24" s="6">
        <f>(2323087.5*36.744)/1000000</f>
        <v>85.359527099999994</v>
      </c>
      <c r="M24" s="6"/>
      <c r="N24" s="13"/>
    </row>
    <row r="25" spans="1:17" ht="16.5" customHeight="1">
      <c r="A25" s="16" t="s">
        <v>52</v>
      </c>
      <c r="B25" s="106"/>
      <c r="C25" s="106"/>
      <c r="E25" s="38"/>
      <c r="F25" s="38"/>
      <c r="G25" s="6">
        <f>(60683.8*36.744)/1000000</f>
        <v>2.2297655472</v>
      </c>
      <c r="H25" s="13"/>
      <c r="I25" s="106"/>
      <c r="J25" s="13">
        <f>((5252619*0.907185)*36.744)/1000000</f>
        <v>175.08873032317118</v>
      </c>
      <c r="K25" s="37"/>
      <c r="L25" s="6">
        <f>(3317459.2*36.744)/1000000</f>
        <v>121.89672084480002</v>
      </c>
      <c r="M25" s="6"/>
      <c r="N25" s="13"/>
    </row>
    <row r="26" spans="1:17" ht="16.5" customHeight="1">
      <c r="A26" s="16" t="s">
        <v>53</v>
      </c>
      <c r="B26" s="106"/>
      <c r="C26" s="106"/>
      <c r="E26" s="38">
        <f>N22</f>
        <v>967.52499999999998</v>
      </c>
      <c r="F26" s="38"/>
      <c r="G26" s="6">
        <f>SUM(G23:G25)</f>
        <v>5.2138854144</v>
      </c>
      <c r="H26" s="13">
        <f>E26+F26+G26</f>
        <v>972.73888541439999</v>
      </c>
      <c r="I26" s="106"/>
      <c r="J26" s="13">
        <f>SUM(J23:J25)</f>
        <v>530.564700920414</v>
      </c>
      <c r="K26" s="37">
        <f>M26-L26-J26</f>
        <v>-122.92316455961407</v>
      </c>
      <c r="L26" s="6">
        <f>SUM(L23:L25)</f>
        <v>290.70334905360005</v>
      </c>
      <c r="M26" s="6">
        <f>H26-N26</f>
        <v>698.34488541439998</v>
      </c>
      <c r="N26" s="13">
        <f>274.394</f>
        <v>274.39400000000001</v>
      </c>
    </row>
    <row r="27" spans="1:17" ht="16.5" customHeight="1">
      <c r="A27" s="16" t="s">
        <v>28</v>
      </c>
      <c r="B27" s="106"/>
      <c r="C27" s="106"/>
      <c r="D27" s="106"/>
      <c r="E27" s="38"/>
      <c r="F27" s="38">
        <f>F14</f>
        <v>4465.3819999999996</v>
      </c>
      <c r="G27" s="6">
        <f>(433000.6*36.744)/1000000</f>
        <v>15.9101740464</v>
      </c>
      <c r="H27" s="13">
        <f>E14+F27+G27</f>
        <v>4738.2711740464001</v>
      </c>
      <c r="I27" s="106"/>
      <c r="J27" s="13">
        <f>SUM(J14,J18,J22,J26)</f>
        <v>2203.8901705391709</v>
      </c>
      <c r="K27" s="37">
        <f>SUM(K14,K18,K22,K26)</f>
        <v>102.34031607682891</v>
      </c>
      <c r="L27" s="6">
        <f>(58721061.6*36.744)/1000000</f>
        <v>2157.6466874304001</v>
      </c>
      <c r="M27" s="6">
        <f>SUM(M14,M18,M22,M26)</f>
        <v>4463.8771777207994</v>
      </c>
      <c r="N27" s="13"/>
    </row>
    <row r="28" spans="1:17" ht="16.5" customHeight="1">
      <c r="A28" s="16"/>
      <c r="B28" s="106"/>
      <c r="C28" s="106"/>
      <c r="D28" s="106"/>
      <c r="E28" s="38"/>
      <c r="F28" s="38"/>
      <c r="G28" s="6"/>
      <c r="H28" s="13"/>
      <c r="I28" s="106"/>
      <c r="J28" s="13"/>
      <c r="K28" s="37"/>
      <c r="L28" s="6"/>
      <c r="M28" s="6"/>
      <c r="N28" s="13"/>
    </row>
    <row r="29" spans="1:17" ht="16.5" customHeight="1">
      <c r="A29" s="36" t="s">
        <v>54</v>
      </c>
      <c r="B29" s="106"/>
      <c r="C29" s="106"/>
      <c r="D29" s="106"/>
      <c r="E29" s="38"/>
      <c r="F29" s="38"/>
      <c r="G29" s="6"/>
      <c r="H29" s="13"/>
      <c r="I29" s="106"/>
      <c r="J29" s="13"/>
      <c r="K29" s="37"/>
      <c r="L29" s="6"/>
      <c r="M29" s="6"/>
      <c r="N29" s="13"/>
    </row>
    <row r="30" spans="1:17" ht="16.5" customHeight="1">
      <c r="A30" s="16" t="s">
        <v>38</v>
      </c>
      <c r="B30" s="106"/>
      <c r="C30" s="106"/>
      <c r="D30" s="106"/>
      <c r="E30" s="38"/>
      <c r="F30" s="38"/>
      <c r="G30" s="6">
        <f>(31760.9*36.744)/1000000</f>
        <v>1.1670225096</v>
      </c>
      <c r="H30" s="13"/>
      <c r="I30" s="106"/>
      <c r="J30" s="6">
        <f>((5028287*0.907185)*36.744)/1000000</f>
        <v>167.6109359027387</v>
      </c>
      <c r="K30" s="37"/>
      <c r="L30" s="6">
        <f>(2122949.2*36.744)/1000000</f>
        <v>78.005645404800006</v>
      </c>
      <c r="M30" s="6"/>
      <c r="N30" s="13"/>
    </row>
    <row r="31" spans="1:17" ht="16.5" customHeight="1">
      <c r="A31" s="16" t="s">
        <v>39</v>
      </c>
      <c r="B31" s="106"/>
      <c r="C31" s="106"/>
      <c r="D31" s="106"/>
      <c r="E31" s="38"/>
      <c r="F31" s="38"/>
      <c r="G31" s="6">
        <f>(33846.3*36.744)/1000000</f>
        <v>1.2436484472</v>
      </c>
      <c r="H31" s="13"/>
      <c r="I31" s="106"/>
      <c r="J31" s="6">
        <f>((5899694*0.907185)*36.744)/1000000</f>
        <v>196.65807319267415</v>
      </c>
      <c r="K31" s="37"/>
      <c r="L31" s="6">
        <f>(9780846.5*36.744)/1000000</f>
        <v>359.38742379600001</v>
      </c>
      <c r="M31" s="6"/>
      <c r="N31" s="13"/>
    </row>
    <row r="32" spans="1:17" ht="16.5" customHeight="1">
      <c r="A32" s="16" t="s">
        <v>40</v>
      </c>
      <c r="B32" s="106"/>
      <c r="C32" s="106"/>
      <c r="D32" s="106"/>
      <c r="E32" s="38"/>
      <c r="F32" s="38"/>
      <c r="G32" s="6">
        <f>(34971.9*36.744)/1000000</f>
        <v>1.2850074936000002</v>
      </c>
      <c r="H32" s="13"/>
      <c r="I32" s="106"/>
      <c r="J32" s="6">
        <f>((5687098*0.907185)*36.744)/1000000</f>
        <v>189.57148196803271</v>
      </c>
      <c r="K32" s="37"/>
      <c r="L32" s="6">
        <f>(9667590.7*36.744)/1000000</f>
        <v>355.22595268079994</v>
      </c>
      <c r="M32" s="6"/>
      <c r="N32" s="13"/>
    </row>
    <row r="33" spans="1:73" ht="16.5" customHeight="1">
      <c r="A33" s="16" t="s">
        <v>41</v>
      </c>
      <c r="B33" s="106"/>
      <c r="C33" s="106"/>
      <c r="D33" s="106"/>
      <c r="E33" s="38">
        <f>N26</f>
        <v>274.39400000000001</v>
      </c>
      <c r="F33" s="118">
        <f>4276.123</f>
        <v>4276.1229999999996</v>
      </c>
      <c r="G33" s="6">
        <f>SUM(G30:G32)</f>
        <v>3.6956784504</v>
      </c>
      <c r="H33" s="13">
        <f>SUM(E33:G33)</f>
        <v>4554.2126784503998</v>
      </c>
      <c r="I33" s="106"/>
      <c r="J33" s="6">
        <f>SUM(J30:J32)</f>
        <v>553.8404910634456</v>
      </c>
      <c r="K33" s="37">
        <f>M33-L33-J33</f>
        <v>186.60116550535417</v>
      </c>
      <c r="L33" s="6">
        <f>SUM(L30:L32)</f>
        <v>792.61902188160002</v>
      </c>
      <c r="M33" s="6">
        <f>H33-N33</f>
        <v>1533.0606784503998</v>
      </c>
      <c r="N33" s="13">
        <f>3021.152</f>
        <v>3021.152</v>
      </c>
    </row>
    <row r="34" spans="1:73" ht="16.5" customHeight="1">
      <c r="A34" s="16" t="s">
        <v>42</v>
      </c>
      <c r="B34" s="106"/>
      <c r="C34" s="106"/>
      <c r="D34" s="106"/>
      <c r="E34" s="38"/>
      <c r="F34" s="118"/>
      <c r="G34" s="6">
        <f>(36103.7*36.744)/1000000</f>
        <v>1.3265943527999999</v>
      </c>
      <c r="H34" s="13"/>
      <c r="I34" s="106"/>
      <c r="J34" s="6">
        <f>((5622561*0.907185)*36.744)/1000000</f>
        <v>187.42023106084403</v>
      </c>
      <c r="K34" s="37"/>
      <c r="L34" s="6">
        <f>(8294601.8*36.744)/1000000</f>
        <v>304.77684853919999</v>
      </c>
      <c r="M34" s="6"/>
      <c r="N34" s="13"/>
    </row>
    <row r="35" spans="1:73" ht="16.5" customHeight="1">
      <c r="A35" s="16" t="s">
        <v>43</v>
      </c>
      <c r="B35" s="106"/>
      <c r="C35" s="106"/>
      <c r="D35" s="106"/>
      <c r="E35" s="38"/>
      <c r="F35" s="118"/>
      <c r="G35" s="6">
        <f>(5893.9*36.744)/1000000</f>
        <v>0.21656546159999998</v>
      </c>
      <c r="H35" s="13"/>
      <c r="I35" s="106"/>
      <c r="J35" s="6">
        <f>((5734398*0.907185)*36.744)/1000000</f>
        <v>191.14816151480471</v>
      </c>
      <c r="K35" s="37"/>
      <c r="L35" s="6">
        <f>(8559125.5*36.744)/1000000</f>
        <v>314.496507372</v>
      </c>
      <c r="M35" s="6"/>
      <c r="N35" s="13"/>
    </row>
    <row r="36" spans="1:73" ht="16.5" customHeight="1">
      <c r="A36" s="16" t="s">
        <v>44</v>
      </c>
      <c r="B36" s="106"/>
      <c r="C36" s="106"/>
      <c r="D36" s="106"/>
      <c r="E36" s="38"/>
      <c r="F36" s="118"/>
      <c r="G36" s="6">
        <f>(27761.8*36.744)/1000000</f>
        <v>1.0200795791999999</v>
      </c>
      <c r="H36" s="13"/>
      <c r="I36" s="106"/>
      <c r="J36" s="6">
        <f>((5306995*0.907185)*36.744)/1000000</f>
        <v>176.9012784634518</v>
      </c>
      <c r="K36" s="37"/>
      <c r="L36" s="6">
        <f>(5374314*36.744)/1000000</f>
        <v>197.47379361599999</v>
      </c>
      <c r="M36" s="6"/>
      <c r="N36" s="13"/>
      <c r="P36" s="40"/>
    </row>
    <row r="37" spans="1:73" ht="16.5" customHeight="1">
      <c r="A37" s="16" t="s">
        <v>45</v>
      </c>
      <c r="B37" s="106"/>
      <c r="C37" s="106"/>
      <c r="D37" s="106"/>
      <c r="E37" s="38">
        <f>N33</f>
        <v>3021.152</v>
      </c>
      <c r="F37" s="118"/>
      <c r="G37" s="6">
        <f>SUM(G34:G36)</f>
        <v>2.5632393936</v>
      </c>
      <c r="H37" s="13">
        <f>SUM(E37:G37)</f>
        <v>3023.7152393935999</v>
      </c>
      <c r="I37" s="106"/>
      <c r="J37" s="6">
        <f>SUM(J34:J36)</f>
        <v>555.4696710391006</v>
      </c>
      <c r="K37" s="37">
        <f>M37-L37-J37</f>
        <v>-33.919581172700646</v>
      </c>
      <c r="L37" s="6">
        <f>SUM(L34:L36)</f>
        <v>816.74714952720001</v>
      </c>
      <c r="M37" s="6">
        <f>H37-N37</f>
        <v>1338.2972393936</v>
      </c>
      <c r="N37" s="13">
        <f>1685.418</f>
        <v>1685.4179999999999</v>
      </c>
    </row>
    <row r="38" spans="1:73" ht="16.5" customHeight="1">
      <c r="A38" s="16" t="s">
        <v>46</v>
      </c>
      <c r="B38" s="106"/>
      <c r="C38" s="106"/>
      <c r="D38" s="106"/>
      <c r="E38" s="38"/>
      <c r="F38" s="118"/>
      <c r="G38" s="6">
        <f>(34752.6*36.744)/1000000</f>
        <v>1.2769495343999999</v>
      </c>
      <c r="H38" s="13"/>
      <c r="I38" s="106"/>
      <c r="J38" s="6">
        <f>((5939012*0.907185)*36.744)/1000000</f>
        <v>197.9686838992277</v>
      </c>
      <c r="K38" s="37"/>
      <c r="L38" s="6">
        <f>(3135729.4*36.744)/1000000</f>
        <v>115.21924107359999</v>
      </c>
      <c r="M38" s="6"/>
      <c r="N38" s="13"/>
    </row>
    <row r="39" spans="1:73" ht="16.5" customHeight="1">
      <c r="A39" s="16" t="s">
        <v>47</v>
      </c>
      <c r="B39" s="106"/>
      <c r="C39" s="106"/>
      <c r="D39" s="106"/>
      <c r="E39" s="38"/>
      <c r="F39" s="118"/>
      <c r="G39" s="6">
        <f>(8485*36.744)/1000000</f>
        <v>0.31177284000000005</v>
      </c>
      <c r="H39" s="13"/>
      <c r="I39" s="106"/>
      <c r="J39" s="6">
        <f>((5609607*0.907185)*36.744)/1000000</f>
        <v>186.98842753338349</v>
      </c>
      <c r="K39" s="37"/>
      <c r="L39" s="6">
        <f>(2554266.9*36.744)/1000000</f>
        <v>93.853982973599997</v>
      </c>
      <c r="M39" s="6"/>
      <c r="N39" s="13"/>
    </row>
    <row r="40" spans="1:73" ht="16.5" customHeight="1">
      <c r="A40" s="16" t="s">
        <v>28</v>
      </c>
      <c r="B40" s="106"/>
      <c r="C40" s="106"/>
      <c r="D40" s="106"/>
      <c r="E40" s="38"/>
      <c r="F40" s="118"/>
      <c r="G40" s="6">
        <f>SUM(G33,G37,G38,G39)</f>
        <v>7.8476402183999996</v>
      </c>
      <c r="H40" s="139"/>
      <c r="I40" s="106"/>
      <c r="J40" s="6">
        <f>SUM(J33,J37,J38,J39)</f>
        <v>1494.2672735351573</v>
      </c>
      <c r="K40" s="37"/>
      <c r="L40" s="6">
        <f>SUM(L33,L37,L38,L39)</f>
        <v>1818.4393954560001</v>
      </c>
      <c r="M40" s="6"/>
      <c r="N40" s="13"/>
    </row>
    <row r="41" spans="1:73" ht="16.5" customHeight="1">
      <c r="A41" s="101" t="s">
        <v>55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102"/>
      <c r="M41" s="82"/>
      <c r="N41" s="82"/>
    </row>
    <row r="42" spans="1:73" ht="16.5" customHeight="1">
      <c r="A42" s="16" t="s">
        <v>150</v>
      </c>
      <c r="B42" s="16"/>
      <c r="C42" s="16"/>
      <c r="D42" s="16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73" ht="16.5" customHeight="1">
      <c r="A43" s="21" t="s">
        <v>56</v>
      </c>
      <c r="B43" s="43">
        <f>Contents!A16</f>
        <v>45090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06"/>
      <c r="P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</row>
    <row r="44" spans="1:73">
      <c r="O44" s="106"/>
      <c r="P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</row>
    <row r="45" spans="1:73">
      <c r="O45" s="106"/>
      <c r="P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</row>
    <row r="46" spans="1:73">
      <c r="O46" s="106"/>
      <c r="P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</row>
    <row r="47" spans="1:73">
      <c r="O47" s="106"/>
      <c r="P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</row>
    <row r="48" spans="1:73">
      <c r="J48" s="40"/>
      <c r="L48" s="40"/>
      <c r="O48" s="106"/>
      <c r="P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</row>
    <row r="49" spans="10:73">
      <c r="J49" s="40"/>
      <c r="L49" s="40"/>
      <c r="O49" s="106"/>
      <c r="P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</row>
    <row r="50" spans="10:73">
      <c r="J50" s="40"/>
      <c r="L50" s="40"/>
      <c r="O50" s="106"/>
      <c r="P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</row>
    <row r="51" spans="10:73">
      <c r="O51" s="106"/>
      <c r="P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</row>
    <row r="52" spans="10:73">
      <c r="O52" s="106"/>
      <c r="P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</row>
    <row r="53" spans="10:73">
      <c r="O53" s="106"/>
      <c r="P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</row>
    <row r="54" spans="10:73">
      <c r="O54" s="106"/>
      <c r="P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</row>
    <row r="55" spans="10:73">
      <c r="O55" s="106"/>
      <c r="P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</row>
    <row r="56" spans="10:73">
      <c r="O56" s="106"/>
      <c r="P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</row>
    <row r="57" spans="10:73">
      <c r="O57" s="106"/>
      <c r="P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</row>
    <row r="58" spans="10:73">
      <c r="O58" s="106"/>
      <c r="P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</row>
    <row r="59" spans="10:73">
      <c r="O59" s="106"/>
      <c r="P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</row>
    <row r="60" spans="10:73">
      <c r="O60" s="106"/>
      <c r="P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</row>
    <row r="61" spans="10:73">
      <c r="O61" s="106"/>
      <c r="P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</row>
    <row r="62" spans="10:73">
      <c r="O62" s="106"/>
      <c r="P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</row>
    <row r="63" spans="10:73">
      <c r="O63" s="106"/>
      <c r="P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</row>
    <row r="64" spans="10:73">
      <c r="O64" s="106"/>
      <c r="P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</row>
    <row r="65" spans="15:73">
      <c r="O65" s="106"/>
      <c r="P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</row>
    <row r="66" spans="15:73">
      <c r="O66" s="106"/>
      <c r="P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</row>
    <row r="67" spans="15:73">
      <c r="O67" s="106"/>
      <c r="P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</row>
    <row r="68" spans="15:73">
      <c r="O68" s="106"/>
      <c r="P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</row>
    <row r="69" spans="15:73">
      <c r="O69" s="106"/>
      <c r="P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</row>
    <row r="70" spans="15:73">
      <c r="O70" s="106"/>
      <c r="P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</row>
    <row r="71" spans="15:73"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</row>
    <row r="72" spans="15:73"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</row>
    <row r="73" spans="15:73"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</row>
    <row r="74" spans="15:73"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</row>
    <row r="75" spans="15:73"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</row>
    <row r="76" spans="15:73"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</row>
    <row r="77" spans="15:73"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</row>
    <row r="78" spans="15:73"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</row>
    <row r="79" spans="15:73"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</row>
    <row r="80" spans="15:73"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</row>
    <row r="81" spans="15:73"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</row>
    <row r="82" spans="15:73"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</row>
    <row r="83" spans="15:73"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</row>
    <row r="84" spans="15:73"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</row>
    <row r="85" spans="15:73"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</row>
    <row r="86" spans="15:73"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</row>
    <row r="87" spans="15:73"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</row>
    <row r="88" spans="15:73"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</row>
    <row r="89" spans="15:73"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</row>
    <row r="90" spans="15:73"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</row>
    <row r="91" spans="15:73"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</row>
    <row r="92" spans="15:73"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</row>
    <row r="93" spans="15:73"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</row>
    <row r="94" spans="15:73"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</row>
    <row r="95" spans="15:73"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</row>
    <row r="96" spans="15:73"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</row>
    <row r="97" spans="15:73"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</row>
    <row r="98" spans="15:73"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</row>
    <row r="99" spans="15:73"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</row>
    <row r="100" spans="15:73"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</row>
    <row r="101" spans="15:73"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</row>
    <row r="102" spans="15:73"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</row>
    <row r="103" spans="15:73"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</row>
    <row r="104" spans="15:73"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</row>
    <row r="105" spans="15:73"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</row>
    <row r="106" spans="15:73"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</row>
    <row r="107" spans="15:73"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</row>
    <row r="108" spans="15:73"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</row>
    <row r="109" spans="15:73"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</row>
    <row r="110" spans="15:73"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</row>
    <row r="111" spans="15:73"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</row>
    <row r="112" spans="15:73"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</row>
    <row r="113" spans="15:73"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</row>
    <row r="114" spans="15:73"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</row>
    <row r="115" spans="15:73"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</row>
    <row r="116" spans="15:73"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</row>
    <row r="117" spans="15:73"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</row>
    <row r="118" spans="15:73"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</row>
    <row r="119" spans="15:73"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</row>
    <row r="120" spans="15:73"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</row>
    <row r="121" spans="15:73"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</row>
    <row r="122" spans="15:73"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</row>
    <row r="123" spans="15:73"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</row>
    <row r="124" spans="15:73"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</row>
    <row r="125" spans="15:73"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</row>
    <row r="126" spans="15:73"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</row>
    <row r="127" spans="15:73"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</row>
    <row r="128" spans="15:73"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</row>
    <row r="129" spans="15:73"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</row>
    <row r="130" spans="15:73"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</row>
    <row r="131" spans="15:73"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</row>
    <row r="132" spans="15:73"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</row>
    <row r="133" spans="15:73"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</row>
    <row r="134" spans="15:73"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</row>
    <row r="135" spans="15:73"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</row>
    <row r="136" spans="15:73"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</row>
    <row r="137" spans="15:73"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</row>
    <row r="138" spans="15:73"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</row>
    <row r="139" spans="15:73"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</row>
    <row r="140" spans="15:73"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</row>
    <row r="141" spans="15:73"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</row>
    <row r="142" spans="15:73"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</row>
    <row r="143" spans="15:73"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</row>
    <row r="144" spans="15:73"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</row>
    <row r="145" spans="15:73"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</row>
    <row r="146" spans="15:73"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</row>
    <row r="147" spans="15:73"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</row>
    <row r="148" spans="15:73"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</row>
    <row r="149" spans="15:73"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</row>
    <row r="150" spans="15:73"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</row>
    <row r="151" spans="15:73"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</row>
    <row r="152" spans="15:73"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</row>
    <row r="153" spans="15:73"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</row>
    <row r="154" spans="15:73"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</row>
    <row r="155" spans="15:73"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</row>
    <row r="156" spans="15:73"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</row>
    <row r="157" spans="15:73"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</row>
    <row r="158" spans="15:73"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</row>
    <row r="159" spans="15:73"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</row>
    <row r="160" spans="15:73"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</row>
    <row r="161" spans="15:73"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</row>
    <row r="162" spans="15:73"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</row>
    <row r="163" spans="15:73"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</row>
    <row r="164" spans="15:73"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</row>
    <row r="165" spans="15:73"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</row>
    <row r="166" spans="15:73"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</row>
    <row r="167" spans="15:73"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</row>
    <row r="168" spans="15:73"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</row>
    <row r="169" spans="15:73"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</row>
    <row r="170" spans="15:73"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</row>
    <row r="171" spans="15:73"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</row>
    <row r="172" spans="15:73"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</row>
    <row r="173" spans="15:73"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</row>
    <row r="174" spans="15:73"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</row>
    <row r="175" spans="15:73"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</row>
    <row r="176" spans="15:73"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</row>
    <row r="177" spans="15:73"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</row>
    <row r="178" spans="15:73"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</row>
    <row r="179" spans="15:73"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</row>
    <row r="180" spans="15:73"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</row>
    <row r="181" spans="15:73"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</row>
    <row r="182" spans="15:73"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</row>
    <row r="183" spans="15:73"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</row>
    <row r="184" spans="15:73"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</row>
    <row r="185" spans="15:73"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</row>
    <row r="186" spans="15:73"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</row>
    <row r="187" spans="15:73"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</row>
    <row r="188" spans="15:73"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</row>
    <row r="189" spans="15:73"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</row>
    <row r="190" spans="15:73"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</row>
    <row r="191" spans="15:73"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</row>
    <row r="192" spans="15:73"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</row>
    <row r="193" spans="15:73"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</row>
    <row r="194" spans="15:73"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</row>
    <row r="195" spans="15:73"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</row>
    <row r="196" spans="15:73"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6"/>
    </row>
    <row r="197" spans="15:73"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</row>
    <row r="198" spans="15:73"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</row>
    <row r="199" spans="15:73"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</row>
    <row r="200" spans="15:73"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</row>
    <row r="201" spans="15:73"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6"/>
    </row>
    <row r="202" spans="15:73"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</row>
    <row r="203" spans="15:73"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106"/>
    </row>
    <row r="204" spans="15:73"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</row>
    <row r="205" spans="15:73"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</row>
    <row r="206" spans="15:73"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</row>
    <row r="207" spans="15:73"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</row>
    <row r="208" spans="15:73"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</row>
    <row r="209" spans="15:73"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</row>
    <row r="210" spans="15:73"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</row>
    <row r="211" spans="15:73"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</row>
    <row r="212" spans="15:73"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</row>
    <row r="213" spans="15:73"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6"/>
    </row>
    <row r="214" spans="15:73"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</row>
    <row r="215" spans="15:73"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</row>
    <row r="216" spans="15:73"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</row>
    <row r="217" spans="15:73"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</row>
    <row r="218" spans="15:73"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  <c r="BU218" s="106"/>
    </row>
    <row r="219" spans="15:73"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</row>
    <row r="220" spans="15:73"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106"/>
      <c r="BU220" s="106"/>
    </row>
    <row r="221" spans="15:73"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6"/>
      <c r="BU221" s="106"/>
    </row>
    <row r="222" spans="15:73"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</row>
    <row r="223" spans="15:73"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</row>
    <row r="224" spans="15:73"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6"/>
      <c r="BQ224" s="106"/>
      <c r="BR224" s="106"/>
      <c r="BS224" s="106"/>
      <c r="BT224" s="106"/>
      <c r="BU224" s="106"/>
    </row>
    <row r="225" spans="15:73"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106"/>
      <c r="BU225" s="106"/>
    </row>
    <row r="226" spans="15:73"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</row>
    <row r="227" spans="15:73"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</row>
    <row r="228" spans="15:73"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6"/>
      <c r="BR228" s="106"/>
      <c r="BS228" s="106"/>
      <c r="BT228" s="106"/>
      <c r="BU228" s="106"/>
    </row>
    <row r="229" spans="15:73"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</row>
    <row r="230" spans="15:73"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/>
      <c r="BP230" s="106"/>
      <c r="BQ230" s="106"/>
      <c r="BR230" s="106"/>
      <c r="BS230" s="106"/>
      <c r="BT230" s="106"/>
      <c r="BU230" s="106"/>
    </row>
    <row r="231" spans="15:73"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 s="106"/>
      <c r="BQ231" s="106"/>
      <c r="BR231" s="106"/>
      <c r="BS231" s="106"/>
      <c r="BT231" s="106"/>
      <c r="BU231" s="106"/>
    </row>
    <row r="232" spans="15:73"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 s="106"/>
      <c r="BQ232" s="106"/>
      <c r="BR232" s="106"/>
      <c r="BS232" s="106"/>
      <c r="BT232" s="106"/>
      <c r="BU232" s="106"/>
    </row>
    <row r="233" spans="15:73"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</row>
    <row r="234" spans="15:73"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 s="106"/>
      <c r="BQ234" s="106"/>
      <c r="BR234" s="106"/>
      <c r="BS234" s="106"/>
      <c r="BT234" s="106"/>
      <c r="BU234" s="106"/>
    </row>
    <row r="235" spans="15:73"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 s="106"/>
      <c r="BQ235" s="106"/>
      <c r="BR235" s="106"/>
      <c r="BS235" s="106"/>
      <c r="BT235" s="106"/>
      <c r="BU235" s="106"/>
    </row>
    <row r="236" spans="15:73"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</row>
    <row r="237" spans="15:73"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06"/>
      <c r="BU237" s="106"/>
    </row>
    <row r="238" spans="15:73"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06"/>
      <c r="BU238" s="106"/>
    </row>
    <row r="239" spans="15:73"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6"/>
      <c r="BU239" s="106"/>
    </row>
    <row r="240" spans="15:73"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 s="106"/>
      <c r="BQ240" s="106"/>
      <c r="BR240" s="106"/>
      <c r="BS240" s="106"/>
      <c r="BT240" s="106"/>
      <c r="BU240" s="106"/>
    </row>
    <row r="241" spans="15:73"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R241" s="106"/>
      <c r="BS241" s="106"/>
      <c r="BT241" s="106"/>
      <c r="BU241" s="106"/>
    </row>
    <row r="242" spans="15:73"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 s="106"/>
      <c r="BQ242" s="106"/>
      <c r="BR242" s="106"/>
      <c r="BS242" s="106"/>
      <c r="BT242" s="106"/>
      <c r="BU242" s="106"/>
    </row>
    <row r="243" spans="15:73"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 s="106"/>
      <c r="BQ243" s="106"/>
      <c r="BR243" s="106"/>
      <c r="BS243" s="106"/>
      <c r="BT243" s="106"/>
      <c r="BU243" s="106"/>
    </row>
    <row r="244" spans="15:73"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</row>
    <row r="245" spans="15:73"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6"/>
      <c r="BQ245" s="106"/>
      <c r="BR245" s="106"/>
      <c r="BS245" s="106"/>
      <c r="BT245" s="106"/>
      <c r="BU245" s="106"/>
    </row>
    <row r="246" spans="15:73"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 s="106"/>
      <c r="BQ246" s="106"/>
      <c r="BR246" s="106"/>
      <c r="BS246" s="106"/>
      <c r="BT246" s="106"/>
      <c r="BU246" s="106"/>
    </row>
    <row r="247" spans="15:73"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 s="106"/>
      <c r="BQ247" s="106"/>
      <c r="BR247" s="106"/>
      <c r="BS247" s="106"/>
      <c r="BT247" s="106"/>
      <c r="BU247" s="106"/>
    </row>
    <row r="248" spans="15:73"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 s="106"/>
      <c r="BQ248" s="106"/>
      <c r="BR248" s="106"/>
      <c r="BS248" s="106"/>
      <c r="BT248" s="106"/>
      <c r="BU248" s="106"/>
    </row>
    <row r="249" spans="15:73"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6"/>
      <c r="BR249" s="106"/>
      <c r="BS249" s="106"/>
      <c r="BT249" s="106"/>
      <c r="BU249" s="106"/>
    </row>
    <row r="250" spans="15:73"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106"/>
      <c r="BD250" s="106"/>
      <c r="BE250" s="106"/>
      <c r="BF250" s="106"/>
      <c r="BG250" s="106"/>
      <c r="BH250" s="106"/>
      <c r="BI250" s="106"/>
      <c r="BJ250" s="106"/>
      <c r="BK250" s="106"/>
      <c r="BL250" s="106"/>
      <c r="BM250" s="106"/>
      <c r="BN250" s="106"/>
      <c r="BO250" s="106"/>
      <c r="BP250" s="106"/>
      <c r="BQ250" s="106"/>
      <c r="BR250" s="106"/>
      <c r="BS250" s="106"/>
      <c r="BT250" s="106"/>
      <c r="BU250" s="106"/>
    </row>
    <row r="251" spans="15:73"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106"/>
      <c r="BD251" s="106"/>
      <c r="BE251" s="106"/>
      <c r="BF251" s="106"/>
      <c r="BG251" s="106"/>
      <c r="BH251" s="106"/>
      <c r="BI251" s="106"/>
      <c r="BJ251" s="106"/>
      <c r="BK251" s="106"/>
      <c r="BL251" s="106"/>
      <c r="BM251" s="106"/>
      <c r="BN251" s="106"/>
      <c r="BO251" s="106"/>
      <c r="BP251" s="106"/>
      <c r="BQ251" s="106"/>
      <c r="BR251" s="106"/>
      <c r="BS251" s="106"/>
      <c r="BT251" s="106"/>
      <c r="BU251" s="106"/>
    </row>
    <row r="252" spans="15:73"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6"/>
      <c r="BR252" s="106"/>
      <c r="BS252" s="106"/>
      <c r="BT252" s="106"/>
      <c r="BU252" s="106"/>
    </row>
    <row r="253" spans="15:73"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  <c r="BU253" s="106"/>
    </row>
    <row r="254" spans="15:73"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6"/>
      <c r="BD254" s="106"/>
      <c r="BE254" s="106"/>
      <c r="BF254" s="106"/>
      <c r="BG254" s="106"/>
      <c r="BH254" s="106"/>
      <c r="BI254" s="106"/>
      <c r="BJ254" s="106"/>
      <c r="BK254" s="106"/>
      <c r="BL254" s="106"/>
      <c r="BM254" s="106"/>
      <c r="BN254" s="106"/>
      <c r="BO254" s="106"/>
      <c r="BP254" s="106"/>
      <c r="BQ254" s="106"/>
      <c r="BR254" s="106"/>
      <c r="BS254" s="106"/>
      <c r="BT254" s="106"/>
      <c r="BU254" s="106"/>
    </row>
    <row r="255" spans="15:73"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6"/>
      <c r="BQ255" s="106"/>
      <c r="BR255" s="106"/>
      <c r="BS255" s="106"/>
      <c r="BT255" s="106"/>
      <c r="BU255" s="106"/>
    </row>
    <row r="256" spans="15:73"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06"/>
      <c r="BC256" s="106"/>
      <c r="BD256" s="106"/>
      <c r="BE256" s="106"/>
      <c r="BF256" s="106"/>
      <c r="BG256" s="106"/>
      <c r="BH256" s="106"/>
      <c r="BI256" s="106"/>
      <c r="BJ256" s="106"/>
      <c r="BK256" s="106"/>
      <c r="BL256" s="106"/>
      <c r="BM256" s="106"/>
      <c r="BN256" s="106"/>
      <c r="BO256" s="106"/>
      <c r="BP256" s="106"/>
      <c r="BQ256" s="106"/>
      <c r="BR256" s="106"/>
      <c r="BS256" s="106"/>
      <c r="BT256" s="106"/>
      <c r="BU256" s="106"/>
    </row>
    <row r="257" spans="15:73"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106"/>
      <c r="BD257" s="106"/>
      <c r="BE257" s="106"/>
      <c r="BF257" s="106"/>
      <c r="BG257" s="106"/>
      <c r="BH257" s="106"/>
      <c r="BI257" s="106"/>
      <c r="BJ257" s="106"/>
      <c r="BK257" s="106"/>
      <c r="BL257" s="106"/>
      <c r="BM257" s="106"/>
      <c r="BN257" s="106"/>
      <c r="BO257" s="106"/>
      <c r="BP257" s="106"/>
      <c r="BQ257" s="106"/>
      <c r="BR257" s="106"/>
      <c r="BS257" s="106"/>
      <c r="BT257" s="106"/>
      <c r="BU257" s="106"/>
    </row>
    <row r="258" spans="15:73"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6"/>
      <c r="BD258" s="106"/>
      <c r="BE258" s="106"/>
      <c r="BF258" s="106"/>
      <c r="BG258" s="106"/>
      <c r="BH258" s="106"/>
      <c r="BI258" s="106"/>
      <c r="BJ258" s="106"/>
      <c r="BK258" s="106"/>
      <c r="BL258" s="106"/>
      <c r="BM258" s="106"/>
      <c r="BN258" s="106"/>
      <c r="BO258" s="106"/>
      <c r="BP258" s="106"/>
      <c r="BQ258" s="106"/>
      <c r="BR258" s="106"/>
      <c r="BS258" s="106"/>
      <c r="BT258" s="106"/>
      <c r="BU258" s="106"/>
    </row>
    <row r="259" spans="15:73"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6"/>
      <c r="BR259" s="106"/>
      <c r="BS259" s="106"/>
      <c r="BT259" s="106"/>
      <c r="BU259" s="106"/>
    </row>
    <row r="260" spans="15:73"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/>
      <c r="BS260" s="106"/>
      <c r="BT260" s="106"/>
      <c r="BU260" s="106"/>
    </row>
    <row r="261" spans="15:73"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/>
      <c r="BH261" s="106"/>
      <c r="BI261" s="106"/>
      <c r="BJ261" s="106"/>
      <c r="BK261" s="106"/>
      <c r="BL261" s="106"/>
      <c r="BM261" s="106"/>
      <c r="BN261" s="106"/>
      <c r="BO261" s="106"/>
      <c r="BP261" s="106"/>
      <c r="BQ261" s="106"/>
      <c r="BR261" s="106"/>
      <c r="BS261" s="106"/>
      <c r="BT261" s="106"/>
      <c r="BU261" s="106"/>
    </row>
    <row r="262" spans="15:73"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06"/>
      <c r="BC262" s="106"/>
      <c r="BD262" s="106"/>
      <c r="BE262" s="106"/>
      <c r="BF262" s="106"/>
      <c r="BG262" s="106"/>
      <c r="BH262" s="106"/>
      <c r="BI262" s="106"/>
      <c r="BJ262" s="106"/>
      <c r="BK262" s="106"/>
      <c r="BL262" s="106"/>
      <c r="BM262" s="106"/>
      <c r="BN262" s="106"/>
      <c r="BO262" s="106"/>
      <c r="BP262" s="106"/>
      <c r="BQ262" s="106"/>
      <c r="BR262" s="106"/>
      <c r="BS262" s="106"/>
      <c r="BT262" s="106"/>
      <c r="BU262" s="106"/>
    </row>
    <row r="263" spans="15:73"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6"/>
      <c r="BD263" s="106"/>
      <c r="BE263" s="106"/>
      <c r="BF263" s="106"/>
      <c r="BG263" s="106"/>
      <c r="BH263" s="106"/>
      <c r="BI263" s="106"/>
      <c r="BJ263" s="106"/>
      <c r="BK263" s="106"/>
      <c r="BL263" s="106"/>
      <c r="BM263" s="106"/>
      <c r="BN263" s="106"/>
      <c r="BO263" s="106"/>
      <c r="BP263" s="106"/>
      <c r="BQ263" s="106"/>
      <c r="BR263" s="106"/>
      <c r="BS263" s="106"/>
      <c r="BT263" s="106"/>
      <c r="BU263" s="106"/>
    </row>
    <row r="264" spans="15:73"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06"/>
      <c r="BC264" s="106"/>
      <c r="BD264" s="106"/>
      <c r="BE264" s="106"/>
      <c r="BF264" s="106"/>
      <c r="BG264" s="106"/>
      <c r="BH264" s="106"/>
      <c r="BI264" s="106"/>
      <c r="BJ264" s="106"/>
      <c r="BK264" s="106"/>
      <c r="BL264" s="106"/>
      <c r="BM264" s="106"/>
      <c r="BN264" s="106"/>
      <c r="BO264" s="106"/>
      <c r="BP264" s="106"/>
      <c r="BQ264" s="106"/>
      <c r="BR264" s="106"/>
      <c r="BS264" s="106"/>
      <c r="BT264" s="106"/>
      <c r="BU264" s="106"/>
    </row>
    <row r="265" spans="15:73"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 s="106"/>
      <c r="BQ265" s="106"/>
      <c r="BR265" s="106"/>
      <c r="BS265" s="106"/>
      <c r="BT265" s="106"/>
      <c r="BU265" s="106"/>
    </row>
    <row r="266" spans="15:73"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6"/>
      <c r="BS266" s="106"/>
      <c r="BT266" s="106"/>
      <c r="BU266" s="106"/>
    </row>
    <row r="267" spans="15:73"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6"/>
      <c r="BQ267" s="106"/>
      <c r="BR267" s="106"/>
      <c r="BS267" s="106"/>
      <c r="BT267" s="106"/>
      <c r="BU267" s="106"/>
    </row>
    <row r="268" spans="15:73"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6"/>
      <c r="BQ268" s="106"/>
      <c r="BR268" s="106"/>
      <c r="BS268" s="106"/>
      <c r="BT268" s="106"/>
      <c r="BU268" s="106"/>
    </row>
    <row r="269" spans="15:73"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 s="106"/>
      <c r="BQ269" s="106"/>
      <c r="BR269" s="106"/>
      <c r="BS269" s="106"/>
      <c r="BT269" s="106"/>
      <c r="BU269" s="106"/>
    </row>
    <row r="270" spans="15:73"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  <c r="BJ270" s="106"/>
      <c r="BK270" s="106"/>
      <c r="BL270" s="106"/>
      <c r="BM270" s="106"/>
      <c r="BN270" s="106"/>
      <c r="BO270" s="106"/>
      <c r="BP270" s="106"/>
      <c r="BQ270" s="106"/>
      <c r="BR270" s="106"/>
      <c r="BS270" s="106"/>
      <c r="BT270" s="106"/>
      <c r="BU270" s="106"/>
    </row>
    <row r="271" spans="15:73"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  <c r="BL271" s="106"/>
      <c r="BM271" s="106"/>
      <c r="BN271" s="106"/>
      <c r="BO271" s="106"/>
      <c r="BP271" s="106"/>
      <c r="BQ271" s="106"/>
      <c r="BR271" s="106"/>
      <c r="BS271" s="106"/>
      <c r="BT271" s="106"/>
      <c r="BU271" s="106"/>
    </row>
    <row r="272" spans="15:73"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  <c r="BL272" s="106"/>
      <c r="BM272" s="106"/>
      <c r="BN272" s="106"/>
      <c r="BO272" s="106"/>
      <c r="BP272" s="106"/>
      <c r="BQ272" s="106"/>
      <c r="BR272" s="106"/>
      <c r="BS272" s="106"/>
      <c r="BT272" s="106"/>
      <c r="BU272" s="106"/>
    </row>
    <row r="273" spans="15:73"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6"/>
      <c r="BU273" s="106"/>
    </row>
    <row r="274" spans="15:73"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 s="106"/>
      <c r="BQ274" s="106"/>
      <c r="BR274" s="106"/>
      <c r="BS274" s="106"/>
      <c r="BT274" s="106"/>
      <c r="BU274" s="106"/>
    </row>
    <row r="275" spans="15:73"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  <c r="BL275" s="106"/>
      <c r="BM275" s="106"/>
      <c r="BN275" s="106"/>
      <c r="BO275" s="106"/>
      <c r="BP275" s="106"/>
      <c r="BQ275" s="106"/>
      <c r="BR275" s="106"/>
      <c r="BS275" s="106"/>
      <c r="BT275" s="106"/>
      <c r="BU275" s="106"/>
    </row>
    <row r="276" spans="15:73"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  <c r="BL276" s="106"/>
      <c r="BM276" s="106"/>
      <c r="BN276" s="106"/>
      <c r="BO276" s="106"/>
      <c r="BP276" s="106"/>
      <c r="BQ276" s="106"/>
      <c r="BR276" s="106"/>
      <c r="BS276" s="106"/>
      <c r="BT276" s="106"/>
      <c r="BU276" s="106"/>
    </row>
    <row r="277" spans="15:73"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  <c r="BL277" s="106"/>
      <c r="BM277" s="106"/>
      <c r="BN277" s="106"/>
      <c r="BO277" s="106"/>
      <c r="BP277" s="106"/>
      <c r="BQ277" s="106"/>
      <c r="BR277" s="106"/>
      <c r="BS277" s="106"/>
      <c r="BT277" s="106"/>
      <c r="BU277" s="106"/>
    </row>
    <row r="278" spans="15:73"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  <c r="BL278" s="106"/>
      <c r="BM278" s="106"/>
      <c r="BN278" s="106"/>
      <c r="BO278" s="106"/>
      <c r="BP278" s="106"/>
      <c r="BQ278" s="106"/>
      <c r="BR278" s="106"/>
      <c r="BS278" s="106"/>
      <c r="BT278" s="106"/>
      <c r="BU278" s="106"/>
    </row>
    <row r="279" spans="15:73"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 s="106"/>
      <c r="BQ279" s="106"/>
      <c r="BR279" s="106"/>
      <c r="BS279" s="106"/>
      <c r="BT279" s="106"/>
      <c r="BU279" s="106"/>
    </row>
    <row r="280" spans="15:73"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  <c r="BL280" s="106"/>
      <c r="BM280" s="106"/>
      <c r="BN280" s="106"/>
      <c r="BO280" s="106"/>
      <c r="BP280" s="106"/>
      <c r="BQ280" s="106"/>
      <c r="BR280" s="106"/>
      <c r="BS280" s="106"/>
      <c r="BT280" s="106"/>
      <c r="BU280" s="106"/>
    </row>
    <row r="281" spans="15:73"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  <c r="BL281" s="106"/>
      <c r="BM281" s="106"/>
      <c r="BN281" s="106"/>
      <c r="BO281" s="106"/>
      <c r="BP281" s="106"/>
      <c r="BQ281" s="106"/>
      <c r="BR281" s="106"/>
      <c r="BS281" s="106"/>
      <c r="BT281" s="106"/>
      <c r="BU281" s="106"/>
    </row>
    <row r="282" spans="15:73"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6"/>
      <c r="BQ282" s="106"/>
      <c r="BR282" s="106"/>
      <c r="BS282" s="106"/>
      <c r="BT282" s="106"/>
      <c r="BU282" s="106"/>
    </row>
    <row r="283" spans="15:73"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6"/>
      <c r="BR283" s="106"/>
      <c r="BS283" s="106"/>
      <c r="BT283" s="106"/>
      <c r="BU283" s="106"/>
    </row>
    <row r="284" spans="15:73"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 s="106"/>
      <c r="BQ284" s="106"/>
      <c r="BR284" s="106"/>
      <c r="BS284" s="106"/>
      <c r="BT284" s="106"/>
      <c r="BU284" s="106"/>
    </row>
    <row r="285" spans="15:73"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6"/>
      <c r="BN285" s="106"/>
      <c r="BO285" s="106"/>
      <c r="BP285" s="106"/>
      <c r="BQ285" s="106"/>
      <c r="BR285" s="106"/>
      <c r="BS285" s="106"/>
      <c r="BT285" s="106"/>
      <c r="BU285" s="106"/>
    </row>
    <row r="286" spans="15:73"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 s="106"/>
      <c r="BQ286" s="106"/>
      <c r="BR286" s="106"/>
      <c r="BS286" s="106"/>
      <c r="BT286" s="106"/>
      <c r="BU286" s="106"/>
    </row>
    <row r="287" spans="15:73"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  <c r="BL287" s="106"/>
      <c r="BM287" s="106"/>
      <c r="BN287" s="106"/>
      <c r="BO287" s="106"/>
      <c r="BP287" s="106"/>
      <c r="BQ287" s="106"/>
      <c r="BR287" s="106"/>
      <c r="BS287" s="106"/>
      <c r="BT287" s="106"/>
      <c r="BU287" s="106"/>
    </row>
    <row r="288" spans="15:73"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  <c r="BL288" s="106"/>
      <c r="BM288" s="106"/>
      <c r="BN288" s="106"/>
      <c r="BO288" s="106"/>
      <c r="BP288" s="106"/>
      <c r="BQ288" s="106"/>
      <c r="BR288" s="106"/>
      <c r="BS288" s="106"/>
      <c r="BT288" s="106"/>
      <c r="BU288" s="106"/>
    </row>
    <row r="289" spans="15:73"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 s="106"/>
      <c r="BQ289" s="106"/>
      <c r="BR289" s="106"/>
      <c r="BS289" s="106"/>
      <c r="BT289" s="106"/>
      <c r="BU289" s="106"/>
    </row>
    <row r="290" spans="15:73"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6"/>
      <c r="BR290" s="106"/>
      <c r="BS290" s="106"/>
      <c r="BT290" s="106"/>
      <c r="BU290" s="106"/>
    </row>
    <row r="291" spans="15:73"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 s="106"/>
      <c r="BQ291" s="106"/>
      <c r="BR291" s="106"/>
      <c r="BS291" s="106"/>
      <c r="BT291" s="106"/>
      <c r="BU291" s="106"/>
    </row>
    <row r="292" spans="15:73"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6"/>
      <c r="BQ292" s="106"/>
      <c r="BR292" s="106"/>
      <c r="BS292" s="106"/>
      <c r="BT292" s="106"/>
      <c r="BU292" s="106"/>
    </row>
    <row r="293" spans="15:73"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6"/>
      <c r="BQ293" s="106"/>
      <c r="BR293" s="106"/>
      <c r="BS293" s="106"/>
      <c r="BT293" s="106"/>
      <c r="BU293" s="106"/>
    </row>
    <row r="294" spans="15:73"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 s="106"/>
      <c r="BQ294" s="106"/>
      <c r="BR294" s="106"/>
      <c r="BS294" s="106"/>
      <c r="BT294" s="106"/>
      <c r="BU294" s="106"/>
    </row>
    <row r="295" spans="15:73"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 s="106"/>
      <c r="BQ295" s="106"/>
      <c r="BR295" s="106"/>
      <c r="BS295" s="106"/>
      <c r="BT295" s="106"/>
      <c r="BU295" s="106"/>
    </row>
    <row r="296" spans="15:73"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 s="106"/>
      <c r="BQ296" s="106"/>
      <c r="BR296" s="106"/>
      <c r="BS296" s="106"/>
      <c r="BT296" s="106"/>
      <c r="BU296" s="106"/>
    </row>
    <row r="297" spans="15:73"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06"/>
      <c r="BM297" s="106"/>
      <c r="BN297" s="106"/>
      <c r="BO297" s="106"/>
      <c r="BP297" s="106"/>
      <c r="BQ297" s="106"/>
      <c r="BR297" s="106"/>
      <c r="BS297" s="106"/>
      <c r="BT297" s="106"/>
      <c r="BU297" s="106"/>
    </row>
    <row r="298" spans="15:73"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 s="106"/>
      <c r="BQ298" s="106"/>
      <c r="BR298" s="106"/>
      <c r="BS298" s="106"/>
      <c r="BT298" s="106"/>
      <c r="BU298" s="106"/>
    </row>
    <row r="299" spans="15:73"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06"/>
      <c r="BM299" s="106"/>
      <c r="BN299" s="106"/>
      <c r="BO299" s="106"/>
      <c r="BP299" s="106"/>
      <c r="BQ299" s="106"/>
      <c r="BR299" s="106"/>
      <c r="BS299" s="106"/>
      <c r="BT299" s="106"/>
      <c r="BU299" s="106"/>
    </row>
    <row r="300" spans="15:73"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06"/>
      <c r="BM300" s="106"/>
      <c r="BN300" s="106"/>
      <c r="BO300" s="106"/>
      <c r="BP300" s="106"/>
      <c r="BQ300" s="106"/>
      <c r="BR300" s="106"/>
      <c r="BS300" s="106"/>
      <c r="BT300" s="106"/>
      <c r="BU300" s="106"/>
    </row>
    <row r="301" spans="15:73"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06"/>
      <c r="BM301" s="106"/>
      <c r="BN301" s="106"/>
      <c r="BO301" s="106"/>
      <c r="BP301" s="106"/>
      <c r="BQ301" s="106"/>
      <c r="BR301" s="106"/>
      <c r="BS301" s="106"/>
      <c r="BT301" s="106"/>
      <c r="BU301" s="106"/>
    </row>
    <row r="302" spans="15:73"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06"/>
      <c r="BM302" s="106"/>
      <c r="BN302" s="106"/>
      <c r="BO302" s="106"/>
      <c r="BP302" s="106"/>
      <c r="BQ302" s="106"/>
      <c r="BR302" s="106"/>
      <c r="BS302" s="106"/>
      <c r="BT302" s="106"/>
      <c r="BU302" s="106"/>
    </row>
    <row r="303" spans="15:73"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06"/>
      <c r="BM303" s="106"/>
      <c r="BN303" s="106"/>
      <c r="BO303" s="106"/>
      <c r="BP303" s="106"/>
      <c r="BQ303" s="106"/>
      <c r="BR303" s="106"/>
      <c r="BS303" s="106"/>
      <c r="BT303" s="106"/>
      <c r="BU303" s="106"/>
    </row>
    <row r="304" spans="15:73"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06"/>
      <c r="BM304" s="106"/>
      <c r="BN304" s="106"/>
      <c r="BO304" s="106"/>
      <c r="BP304" s="106"/>
      <c r="BQ304" s="106"/>
      <c r="BR304" s="106"/>
      <c r="BS304" s="106"/>
      <c r="BT304" s="106"/>
      <c r="BU304" s="106"/>
    </row>
    <row r="305" spans="15:73"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06"/>
      <c r="BM305" s="106"/>
      <c r="BN305" s="106"/>
      <c r="BO305" s="106"/>
      <c r="BP305" s="106"/>
      <c r="BQ305" s="106"/>
      <c r="BR305" s="106"/>
      <c r="BS305" s="106"/>
      <c r="BT305" s="106"/>
      <c r="BU305" s="106"/>
    </row>
    <row r="306" spans="15:73"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06"/>
      <c r="BM306" s="106"/>
      <c r="BN306" s="106"/>
      <c r="BO306" s="106"/>
      <c r="BP306" s="106"/>
      <c r="BQ306" s="106"/>
      <c r="BR306" s="106"/>
      <c r="BS306" s="106"/>
      <c r="BT306" s="106"/>
      <c r="BU306" s="106"/>
    </row>
    <row r="307" spans="15:73"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 s="106"/>
      <c r="BQ307" s="106"/>
      <c r="BR307" s="106"/>
      <c r="BS307" s="106"/>
      <c r="BT307" s="106"/>
      <c r="BU307" s="106"/>
    </row>
    <row r="308" spans="15:73"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06"/>
      <c r="BM308" s="106"/>
      <c r="BN308" s="106"/>
      <c r="BO308" s="106"/>
      <c r="BP308" s="106"/>
      <c r="BQ308" s="106"/>
      <c r="BR308" s="106"/>
      <c r="BS308" s="106"/>
      <c r="BT308" s="106"/>
      <c r="BU308" s="106"/>
    </row>
    <row r="309" spans="15:73"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06"/>
      <c r="BM309" s="106"/>
      <c r="BN309" s="106"/>
      <c r="BO309" s="106"/>
      <c r="BP309" s="106"/>
      <c r="BQ309" s="106"/>
      <c r="BR309" s="106"/>
      <c r="BS309" s="106"/>
      <c r="BT309" s="106"/>
      <c r="BU309" s="106"/>
    </row>
    <row r="310" spans="15:73"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06"/>
      <c r="BM310" s="106"/>
      <c r="BN310" s="106"/>
      <c r="BO310" s="106"/>
      <c r="BP310" s="106"/>
      <c r="BQ310" s="106"/>
      <c r="BR310" s="106"/>
      <c r="BS310" s="106"/>
      <c r="BT310" s="106"/>
      <c r="BU310" s="106"/>
    </row>
    <row r="311" spans="15:73"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06"/>
      <c r="BM311" s="106"/>
      <c r="BN311" s="106"/>
      <c r="BO311" s="106"/>
      <c r="BP311" s="106"/>
      <c r="BQ311" s="106"/>
      <c r="BR311" s="106"/>
      <c r="BS311" s="106"/>
      <c r="BT311" s="106"/>
      <c r="BU311" s="106"/>
    </row>
    <row r="312" spans="15:73"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06"/>
      <c r="BM312" s="106"/>
      <c r="BN312" s="106"/>
      <c r="BO312" s="106"/>
      <c r="BP312" s="106"/>
      <c r="BQ312" s="106"/>
      <c r="BR312" s="106"/>
      <c r="BS312" s="106"/>
      <c r="BT312" s="106"/>
      <c r="BU312" s="106"/>
    </row>
    <row r="313" spans="15:73"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06"/>
      <c r="BM313" s="106"/>
      <c r="BN313" s="106"/>
      <c r="BO313" s="106"/>
      <c r="BP313" s="106"/>
      <c r="BQ313" s="106"/>
      <c r="BR313" s="106"/>
      <c r="BS313" s="106"/>
      <c r="BT313" s="106"/>
      <c r="BU313" s="106"/>
    </row>
    <row r="314" spans="15:73"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6"/>
      <c r="BR314" s="106"/>
      <c r="BS314" s="106"/>
      <c r="BT314" s="106"/>
      <c r="BU314" s="106"/>
    </row>
    <row r="315" spans="15:73"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06"/>
      <c r="BM315" s="106"/>
      <c r="BN315" s="106"/>
      <c r="BO315" s="106"/>
      <c r="BP315" s="106"/>
      <c r="BQ315" s="106"/>
      <c r="BR315" s="106"/>
      <c r="BS315" s="106"/>
      <c r="BT315" s="106"/>
      <c r="BU315" s="106"/>
    </row>
    <row r="316" spans="15:73"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  <c r="BS316" s="106"/>
      <c r="BT316" s="106"/>
      <c r="BU316" s="106"/>
    </row>
    <row r="317" spans="15:73"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06"/>
      <c r="BM317" s="106"/>
      <c r="BN317" s="106"/>
      <c r="BO317" s="106"/>
      <c r="BP317" s="106"/>
      <c r="BQ317" s="106"/>
      <c r="BR317" s="106"/>
      <c r="BS317" s="106"/>
      <c r="BT317" s="106"/>
      <c r="BU317" s="106"/>
    </row>
    <row r="318" spans="15:73"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06"/>
      <c r="BM318" s="106"/>
      <c r="BN318" s="106"/>
      <c r="BO318" s="106"/>
      <c r="BP318" s="106"/>
      <c r="BQ318" s="106"/>
      <c r="BR318" s="106"/>
      <c r="BS318" s="106"/>
      <c r="BT318" s="106"/>
      <c r="BU318" s="106"/>
    </row>
    <row r="319" spans="15:73"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06"/>
      <c r="BM319" s="106"/>
      <c r="BN319" s="106"/>
      <c r="BO319" s="106"/>
      <c r="BP319" s="106"/>
      <c r="BQ319" s="106"/>
      <c r="BR319" s="106"/>
      <c r="BS319" s="106"/>
      <c r="BT319" s="106"/>
      <c r="BU319" s="106"/>
    </row>
    <row r="320" spans="15:73"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06"/>
      <c r="BM320" s="106"/>
      <c r="BN320" s="106"/>
      <c r="BO320" s="106"/>
      <c r="BP320" s="106"/>
      <c r="BQ320" s="106"/>
      <c r="BR320" s="106"/>
      <c r="BS320" s="106"/>
      <c r="BT320" s="106"/>
      <c r="BU320" s="106"/>
    </row>
    <row r="321" spans="15:73"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6"/>
      <c r="BR321" s="106"/>
      <c r="BS321" s="106"/>
      <c r="BT321" s="106"/>
      <c r="BU321" s="106"/>
    </row>
    <row r="322" spans="15:73"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  <c r="BL322" s="106"/>
      <c r="BM322" s="106"/>
      <c r="BN322" s="106"/>
      <c r="BO322" s="106"/>
      <c r="BP322" s="106"/>
      <c r="BQ322" s="106"/>
      <c r="BR322" s="106"/>
      <c r="BS322" s="106"/>
      <c r="BT322" s="106"/>
      <c r="BU322" s="106"/>
    </row>
    <row r="323" spans="15:73"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  <c r="BL323" s="106"/>
      <c r="BM323" s="106"/>
      <c r="BN323" s="106"/>
      <c r="BO323" s="106"/>
      <c r="BP323" s="106"/>
      <c r="BQ323" s="106"/>
      <c r="BR323" s="106"/>
      <c r="BS323" s="106"/>
      <c r="BT323" s="106"/>
      <c r="BU323" s="106"/>
    </row>
    <row r="324" spans="15:73"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</row>
    <row r="325" spans="15:73"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  <c r="BL325" s="106"/>
      <c r="BM325" s="106"/>
      <c r="BN325" s="106"/>
      <c r="BO325" s="106"/>
      <c r="BP325" s="106"/>
      <c r="BQ325" s="106"/>
      <c r="BR325" s="106"/>
      <c r="BS325" s="106"/>
      <c r="BT325" s="106"/>
      <c r="BU325" s="106"/>
    </row>
    <row r="326" spans="15:73"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  <c r="BL326" s="106"/>
      <c r="BM326" s="106"/>
      <c r="BN326" s="106"/>
      <c r="BO326" s="106"/>
      <c r="BP326" s="106"/>
      <c r="BQ326" s="106"/>
      <c r="BR326" s="106"/>
      <c r="BS326" s="106"/>
      <c r="BT326" s="106"/>
      <c r="BU326" s="106"/>
    </row>
    <row r="327" spans="15:73"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  <c r="BL327" s="106"/>
      <c r="BM327" s="106"/>
      <c r="BN327" s="106"/>
      <c r="BO327" s="106"/>
      <c r="BP327" s="106"/>
      <c r="BQ327" s="106"/>
      <c r="BR327" s="106"/>
      <c r="BS327" s="106"/>
      <c r="BT327" s="106"/>
      <c r="BU327" s="106"/>
    </row>
    <row r="328" spans="15:73"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6"/>
      <c r="BO328" s="106"/>
      <c r="BP328" s="106"/>
      <c r="BQ328" s="106"/>
      <c r="BR328" s="106"/>
      <c r="BS328" s="106"/>
      <c r="BT328" s="106"/>
      <c r="BU328" s="106"/>
    </row>
    <row r="329" spans="15:73"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 s="106"/>
      <c r="BQ329" s="106"/>
      <c r="BR329" s="106"/>
      <c r="BS329" s="106"/>
      <c r="BT329" s="106"/>
      <c r="BU329" s="106"/>
    </row>
    <row r="330" spans="15:73"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  <c r="BL330" s="106"/>
      <c r="BM330" s="106"/>
      <c r="BN330" s="106"/>
      <c r="BO330" s="106"/>
      <c r="BP330" s="106"/>
      <c r="BQ330" s="106"/>
      <c r="BR330" s="106"/>
      <c r="BS330" s="106"/>
      <c r="BT330" s="106"/>
      <c r="BU330" s="106"/>
    </row>
    <row r="331" spans="15:73"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  <c r="BL331" s="106"/>
      <c r="BM331" s="106"/>
      <c r="BN331" s="106"/>
      <c r="BO331" s="106"/>
      <c r="BP331" s="106"/>
      <c r="BQ331" s="106"/>
      <c r="BR331" s="106"/>
      <c r="BS331" s="106"/>
      <c r="BT331" s="106"/>
      <c r="BU331" s="106"/>
    </row>
    <row r="332" spans="15:73"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 s="106"/>
      <c r="BQ332" s="106"/>
      <c r="BR332" s="106"/>
      <c r="BS332" s="106"/>
      <c r="BT332" s="106"/>
      <c r="BU332" s="106"/>
    </row>
    <row r="333" spans="15:73"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  <c r="BL333" s="106"/>
      <c r="BM333" s="106"/>
      <c r="BN333" s="106"/>
      <c r="BO333" s="106"/>
      <c r="BP333" s="106"/>
      <c r="BQ333" s="106"/>
      <c r="BR333" s="106"/>
      <c r="BS333" s="106"/>
      <c r="BT333" s="106"/>
      <c r="BU333" s="106"/>
    </row>
    <row r="334" spans="15:73"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  <c r="BL334" s="106"/>
      <c r="BM334" s="106"/>
      <c r="BN334" s="106"/>
      <c r="BO334" s="106"/>
      <c r="BP334" s="106"/>
      <c r="BQ334" s="106"/>
      <c r="BR334" s="106"/>
      <c r="BS334" s="106"/>
      <c r="BT334" s="106"/>
      <c r="BU334" s="106"/>
    </row>
    <row r="335" spans="15:73"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  <c r="BL335" s="106"/>
      <c r="BM335" s="106"/>
      <c r="BN335" s="106"/>
      <c r="BO335" s="106"/>
      <c r="BP335" s="106"/>
      <c r="BQ335" s="106"/>
      <c r="BR335" s="106"/>
      <c r="BS335" s="106"/>
      <c r="BT335" s="106"/>
      <c r="BU335" s="106"/>
    </row>
    <row r="336" spans="15:73"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  <c r="BL336" s="106"/>
      <c r="BM336" s="106"/>
      <c r="BN336" s="106"/>
      <c r="BO336" s="106"/>
      <c r="BP336" s="106"/>
      <c r="BQ336" s="106"/>
      <c r="BR336" s="106"/>
      <c r="BS336" s="106"/>
      <c r="BT336" s="106"/>
      <c r="BU336" s="106"/>
    </row>
    <row r="337" spans="15:73"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  <c r="BL337" s="106"/>
      <c r="BM337" s="106"/>
      <c r="BN337" s="106"/>
      <c r="BO337" s="106"/>
      <c r="BP337" s="106"/>
      <c r="BQ337" s="106"/>
      <c r="BR337" s="106"/>
      <c r="BS337" s="106"/>
      <c r="BT337" s="106"/>
      <c r="BU337" s="106"/>
    </row>
    <row r="338" spans="15:73"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  <c r="BL338" s="106"/>
      <c r="BM338" s="106"/>
      <c r="BN338" s="106"/>
      <c r="BO338" s="106"/>
      <c r="BP338" s="106"/>
      <c r="BQ338" s="106"/>
      <c r="BR338" s="106"/>
      <c r="BS338" s="106"/>
      <c r="BT338" s="106"/>
      <c r="BU338" s="106"/>
    </row>
    <row r="339" spans="15:73"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  <c r="BL339" s="106"/>
      <c r="BM339" s="106"/>
      <c r="BN339" s="106"/>
      <c r="BO339" s="106"/>
      <c r="BP339" s="106"/>
      <c r="BQ339" s="106"/>
      <c r="BR339" s="106"/>
      <c r="BS339" s="106"/>
      <c r="BT339" s="106"/>
      <c r="BU339" s="106"/>
    </row>
    <row r="340" spans="15:73"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O340" s="106"/>
      <c r="BP340" s="106"/>
      <c r="BQ340" s="106"/>
      <c r="BR340" s="106"/>
      <c r="BS340" s="106"/>
      <c r="BT340" s="106"/>
      <c r="BU340" s="106"/>
    </row>
    <row r="341" spans="15:73"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  <c r="BL341" s="106"/>
      <c r="BM341" s="106"/>
      <c r="BN341" s="106"/>
      <c r="BO341" s="106"/>
      <c r="BP341" s="106"/>
      <c r="BQ341" s="106"/>
      <c r="BR341" s="106"/>
      <c r="BS341" s="106"/>
      <c r="BT341" s="106"/>
      <c r="BU341" s="106"/>
    </row>
    <row r="342" spans="15:73"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  <c r="BL342" s="106"/>
      <c r="BM342" s="106"/>
      <c r="BN342" s="106"/>
      <c r="BO342" s="106"/>
      <c r="BP342" s="106"/>
      <c r="BQ342" s="106"/>
      <c r="BR342" s="106"/>
      <c r="BS342" s="106"/>
      <c r="BT342" s="106"/>
      <c r="BU342" s="106"/>
    </row>
    <row r="343" spans="15:73"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  <c r="BL343" s="106"/>
      <c r="BM343" s="106"/>
      <c r="BN343" s="106"/>
      <c r="BO343" s="106"/>
      <c r="BP343" s="106"/>
      <c r="BQ343" s="106"/>
      <c r="BR343" s="106"/>
      <c r="BS343" s="106"/>
      <c r="BT343" s="106"/>
      <c r="BU343" s="106"/>
    </row>
    <row r="344" spans="15:73"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  <c r="BL344" s="106"/>
      <c r="BM344" s="106"/>
      <c r="BN344" s="106"/>
      <c r="BO344" s="106"/>
      <c r="BP344" s="106"/>
      <c r="BQ344" s="106"/>
      <c r="BR344" s="106"/>
      <c r="BS344" s="106"/>
      <c r="BT344" s="106"/>
      <c r="BU344" s="106"/>
    </row>
    <row r="345" spans="15:73"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6"/>
      <c r="BR345" s="106"/>
      <c r="BS345" s="106"/>
      <c r="BT345" s="106"/>
      <c r="BU345" s="106"/>
    </row>
    <row r="346" spans="15:73"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  <c r="BL346" s="106"/>
      <c r="BM346" s="106"/>
      <c r="BN346" s="106"/>
      <c r="BO346" s="106"/>
      <c r="BP346" s="106"/>
      <c r="BQ346" s="106"/>
      <c r="BR346" s="106"/>
      <c r="BS346" s="106"/>
      <c r="BT346" s="106"/>
      <c r="BU346" s="106"/>
    </row>
    <row r="347" spans="15:73"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  <c r="BL347" s="106"/>
      <c r="BM347" s="106"/>
      <c r="BN347" s="106"/>
      <c r="BO347" s="106"/>
      <c r="BP347" s="106"/>
      <c r="BQ347" s="106"/>
      <c r="BR347" s="106"/>
      <c r="BS347" s="106"/>
      <c r="BT347" s="106"/>
      <c r="BU347" s="106"/>
    </row>
    <row r="348" spans="15:73"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  <c r="BB348" s="106"/>
      <c r="BC348" s="106"/>
      <c r="BD348" s="106"/>
      <c r="BE348" s="106"/>
      <c r="BF348" s="106"/>
      <c r="BG348" s="106"/>
      <c r="BH348" s="106"/>
      <c r="BI348" s="106"/>
      <c r="BJ348" s="106"/>
      <c r="BK348" s="106"/>
      <c r="BL348" s="106"/>
      <c r="BM348" s="106"/>
      <c r="BN348" s="106"/>
      <c r="BO348" s="106"/>
      <c r="BP348" s="106"/>
      <c r="BQ348" s="106"/>
      <c r="BR348" s="106"/>
      <c r="BS348" s="106"/>
      <c r="BT348" s="106"/>
      <c r="BU348" s="106"/>
    </row>
    <row r="349" spans="15:73"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  <c r="BE349" s="106"/>
      <c r="BF349" s="106"/>
      <c r="BG349" s="106"/>
      <c r="BH349" s="106"/>
      <c r="BI349" s="106"/>
      <c r="BJ349" s="106"/>
      <c r="BK349" s="106"/>
      <c r="BL349" s="106"/>
      <c r="BM349" s="106"/>
      <c r="BN349" s="106"/>
      <c r="BO349" s="106"/>
      <c r="BP349" s="106"/>
      <c r="BQ349" s="106"/>
      <c r="BR349" s="106"/>
      <c r="BS349" s="106"/>
      <c r="BT349" s="106"/>
      <c r="BU349" s="106"/>
    </row>
    <row r="350" spans="15:73"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  <c r="BB350" s="106"/>
      <c r="BC350" s="106"/>
      <c r="BD350" s="106"/>
      <c r="BE350" s="106"/>
      <c r="BF350" s="106"/>
      <c r="BG350" s="106"/>
      <c r="BH350" s="106"/>
      <c r="BI350" s="106"/>
      <c r="BJ350" s="106"/>
      <c r="BK350" s="106"/>
      <c r="BL350" s="106"/>
      <c r="BM350" s="106"/>
      <c r="BN350" s="106"/>
      <c r="BO350" s="106"/>
      <c r="BP350" s="106"/>
      <c r="BQ350" s="106"/>
      <c r="BR350" s="106"/>
      <c r="BS350" s="106"/>
      <c r="BT350" s="106"/>
      <c r="BU350" s="106"/>
    </row>
    <row r="351" spans="15:73"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  <c r="BE351" s="106"/>
      <c r="BF351" s="106"/>
      <c r="BG351" s="106"/>
      <c r="BH351" s="106"/>
      <c r="BI351" s="106"/>
      <c r="BJ351" s="106"/>
      <c r="BK351" s="106"/>
      <c r="BL351" s="106"/>
      <c r="BM351" s="106"/>
      <c r="BN351" s="106"/>
      <c r="BO351" s="106"/>
      <c r="BP351" s="106"/>
      <c r="BQ351" s="106"/>
      <c r="BR351" s="106"/>
      <c r="BS351" s="106"/>
      <c r="BT351" s="106"/>
      <c r="BU351" s="106"/>
    </row>
    <row r="352" spans="15:73"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6"/>
      <c r="BR352" s="106"/>
      <c r="BS352" s="106"/>
      <c r="BT352" s="106"/>
      <c r="BU352" s="106"/>
    </row>
    <row r="353" spans="15:73"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06"/>
      <c r="BC353" s="106"/>
      <c r="BD353" s="106"/>
      <c r="BE353" s="106"/>
      <c r="BF353" s="106"/>
      <c r="BG353" s="106"/>
      <c r="BH353" s="106"/>
      <c r="BI353" s="106"/>
      <c r="BJ353" s="106"/>
      <c r="BK353" s="106"/>
      <c r="BL353" s="106"/>
      <c r="BM353" s="106"/>
      <c r="BN353" s="106"/>
      <c r="BO353" s="106"/>
      <c r="BP353" s="106"/>
      <c r="BQ353" s="106"/>
      <c r="BR353" s="106"/>
      <c r="BS353" s="106"/>
      <c r="BT353" s="106"/>
      <c r="BU353" s="106"/>
    </row>
    <row r="354" spans="15:73"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  <c r="BL354" s="106"/>
      <c r="BM354" s="106"/>
      <c r="BN354" s="106"/>
      <c r="BO354" s="106"/>
      <c r="BP354" s="106"/>
      <c r="BQ354" s="106"/>
      <c r="BR354" s="106"/>
      <c r="BS354" s="106"/>
      <c r="BT354" s="106"/>
      <c r="BU354" s="106"/>
    </row>
    <row r="355" spans="15:73"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06"/>
      <c r="BC355" s="106"/>
      <c r="BD355" s="106"/>
      <c r="BE355" s="106"/>
      <c r="BF355" s="106"/>
      <c r="BG355" s="106"/>
      <c r="BH355" s="106"/>
      <c r="BI355" s="106"/>
      <c r="BJ355" s="106"/>
      <c r="BK355" s="106"/>
      <c r="BL355" s="106"/>
      <c r="BM355" s="106"/>
      <c r="BN355" s="106"/>
      <c r="BO355" s="106"/>
      <c r="BP355" s="106"/>
      <c r="BQ355" s="106"/>
      <c r="BR355" s="106"/>
      <c r="BS355" s="106"/>
      <c r="BT355" s="106"/>
      <c r="BU355" s="106"/>
    </row>
    <row r="356" spans="15:73"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06"/>
      <c r="BF356" s="106"/>
      <c r="BG356" s="106"/>
      <c r="BH356" s="106"/>
      <c r="BI356" s="106"/>
      <c r="BJ356" s="106"/>
      <c r="BK356" s="106"/>
      <c r="BL356" s="106"/>
      <c r="BM356" s="106"/>
      <c r="BN356" s="106"/>
      <c r="BO356" s="106"/>
      <c r="BP356" s="106"/>
      <c r="BQ356" s="106"/>
      <c r="BR356" s="106"/>
      <c r="BS356" s="106"/>
      <c r="BT356" s="106"/>
      <c r="BU356" s="106"/>
    </row>
    <row r="357" spans="15:73"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06"/>
      <c r="BC357" s="106"/>
      <c r="BD357" s="106"/>
      <c r="BE357" s="106"/>
      <c r="BF357" s="106"/>
      <c r="BG357" s="106"/>
      <c r="BH357" s="106"/>
      <c r="BI357" s="106"/>
      <c r="BJ357" s="106"/>
      <c r="BK357" s="106"/>
      <c r="BL357" s="106"/>
      <c r="BM357" s="106"/>
      <c r="BN357" s="106"/>
      <c r="BO357" s="106"/>
      <c r="BP357" s="106"/>
      <c r="BQ357" s="106"/>
      <c r="BR357" s="106"/>
      <c r="BS357" s="106"/>
      <c r="BT357" s="106"/>
      <c r="BU357" s="106"/>
    </row>
    <row r="358" spans="15:73"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  <c r="BE358" s="106"/>
      <c r="BF358" s="106"/>
      <c r="BG358" s="106"/>
      <c r="BH358" s="106"/>
      <c r="BI358" s="106"/>
      <c r="BJ358" s="106"/>
      <c r="BK358" s="106"/>
      <c r="BL358" s="106"/>
      <c r="BM358" s="106"/>
      <c r="BN358" s="106"/>
      <c r="BO358" s="106"/>
      <c r="BP358" s="106"/>
      <c r="BQ358" s="106"/>
      <c r="BR358" s="106"/>
      <c r="BS358" s="106"/>
      <c r="BT358" s="106"/>
      <c r="BU358" s="106"/>
    </row>
    <row r="359" spans="15:73"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  <c r="BF359" s="106"/>
      <c r="BG359" s="106"/>
      <c r="BH359" s="106"/>
      <c r="BI359" s="106"/>
      <c r="BJ359" s="106"/>
      <c r="BK359" s="106"/>
      <c r="BL359" s="106"/>
      <c r="BM359" s="106"/>
      <c r="BN359" s="106"/>
      <c r="BO359" s="106"/>
      <c r="BP359" s="106"/>
      <c r="BQ359" s="106"/>
      <c r="BR359" s="106"/>
      <c r="BS359" s="106"/>
      <c r="BT359" s="106"/>
      <c r="BU359" s="106"/>
    </row>
    <row r="360" spans="15:73"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06"/>
      <c r="BC360" s="106"/>
      <c r="BD360" s="106"/>
      <c r="BE360" s="106"/>
      <c r="BF360" s="106"/>
      <c r="BG360" s="106"/>
      <c r="BH360" s="106"/>
      <c r="BI360" s="106"/>
      <c r="BJ360" s="106"/>
      <c r="BK360" s="106"/>
      <c r="BL360" s="106"/>
      <c r="BM360" s="106"/>
      <c r="BN360" s="106"/>
      <c r="BO360" s="106"/>
      <c r="BP360" s="106"/>
      <c r="BQ360" s="106"/>
      <c r="BR360" s="106"/>
      <c r="BS360" s="106"/>
      <c r="BT360" s="106"/>
      <c r="BU360" s="106"/>
    </row>
    <row r="361" spans="15:73"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  <c r="BL361" s="106"/>
      <c r="BM361" s="106"/>
      <c r="BN361" s="106"/>
      <c r="BO361" s="106"/>
      <c r="BP361" s="106"/>
      <c r="BQ361" s="106"/>
      <c r="BR361" s="106"/>
      <c r="BS361" s="106"/>
      <c r="BT361" s="106"/>
      <c r="BU361" s="106"/>
    </row>
    <row r="362" spans="15:73"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06"/>
      <c r="BC362" s="106"/>
      <c r="BD362" s="106"/>
      <c r="BE362" s="106"/>
      <c r="BF362" s="106"/>
      <c r="BG362" s="106"/>
      <c r="BH362" s="106"/>
      <c r="BI362" s="106"/>
      <c r="BJ362" s="106"/>
      <c r="BK362" s="106"/>
      <c r="BL362" s="106"/>
      <c r="BM362" s="106"/>
      <c r="BN362" s="106"/>
      <c r="BO362" s="106"/>
      <c r="BP362" s="106"/>
      <c r="BQ362" s="106"/>
      <c r="BR362" s="106"/>
      <c r="BS362" s="106"/>
      <c r="BT362" s="106"/>
      <c r="BU362" s="106"/>
    </row>
    <row r="363" spans="15:73"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  <c r="BE363" s="106"/>
      <c r="BF363" s="106"/>
      <c r="BG363" s="106"/>
      <c r="BH363" s="106"/>
      <c r="BI363" s="106"/>
      <c r="BJ363" s="106"/>
      <c r="BK363" s="106"/>
      <c r="BL363" s="106"/>
      <c r="BM363" s="106"/>
      <c r="BN363" s="106"/>
      <c r="BO363" s="106"/>
      <c r="BP363" s="106"/>
      <c r="BQ363" s="106"/>
      <c r="BR363" s="106"/>
      <c r="BS363" s="106"/>
      <c r="BT363" s="106"/>
      <c r="BU363" s="106"/>
    </row>
    <row r="364" spans="15:73"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06"/>
      <c r="BC364" s="106"/>
      <c r="BD364" s="106"/>
      <c r="BE364" s="106"/>
      <c r="BF364" s="106"/>
      <c r="BG364" s="106"/>
      <c r="BH364" s="106"/>
      <c r="BI364" s="106"/>
      <c r="BJ364" s="106"/>
      <c r="BK364" s="106"/>
      <c r="BL364" s="106"/>
      <c r="BM364" s="106"/>
      <c r="BN364" s="106"/>
      <c r="BO364" s="106"/>
      <c r="BP364" s="106"/>
      <c r="BQ364" s="106"/>
      <c r="BR364" s="106"/>
      <c r="BS364" s="106"/>
      <c r="BT364" s="106"/>
      <c r="BU364" s="106"/>
    </row>
    <row r="365" spans="15:73"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6"/>
      <c r="BJ365" s="106"/>
      <c r="BK365" s="106"/>
      <c r="BL365" s="106"/>
      <c r="BM365" s="106"/>
      <c r="BN365" s="106"/>
      <c r="BO365" s="106"/>
      <c r="BP365" s="106"/>
      <c r="BQ365" s="106"/>
      <c r="BR365" s="106"/>
      <c r="BS365" s="106"/>
      <c r="BT365" s="106"/>
      <c r="BU365" s="106"/>
    </row>
    <row r="366" spans="15:73"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  <c r="BL366" s="106"/>
      <c r="BM366" s="106"/>
      <c r="BN366" s="106"/>
      <c r="BO366" s="106"/>
      <c r="BP366" s="106"/>
      <c r="BQ366" s="106"/>
      <c r="BR366" s="106"/>
      <c r="BS366" s="106"/>
      <c r="BT366" s="106"/>
      <c r="BU366" s="106"/>
    </row>
    <row r="367" spans="15:73"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06"/>
      <c r="BC367" s="106"/>
      <c r="BD367" s="106"/>
      <c r="BE367" s="106"/>
      <c r="BF367" s="106"/>
      <c r="BG367" s="106"/>
      <c r="BH367" s="106"/>
      <c r="BI367" s="106"/>
      <c r="BJ367" s="106"/>
      <c r="BK367" s="106"/>
      <c r="BL367" s="106"/>
      <c r="BM367" s="106"/>
      <c r="BN367" s="106"/>
      <c r="BO367" s="106"/>
      <c r="BP367" s="106"/>
      <c r="BQ367" s="106"/>
      <c r="BR367" s="106"/>
      <c r="BS367" s="106"/>
      <c r="BT367" s="106"/>
      <c r="BU367" s="106"/>
    </row>
    <row r="368" spans="15:73"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  <c r="BL368" s="106"/>
      <c r="BM368" s="106"/>
      <c r="BN368" s="106"/>
      <c r="BO368" s="106"/>
      <c r="BP368" s="106"/>
      <c r="BQ368" s="106"/>
      <c r="BR368" s="106"/>
      <c r="BS368" s="106"/>
      <c r="BT368" s="106"/>
      <c r="BU368" s="106"/>
    </row>
    <row r="369" spans="15:73"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 s="106"/>
      <c r="BQ369" s="106"/>
      <c r="BR369" s="106"/>
      <c r="BS369" s="106"/>
      <c r="BT369" s="106"/>
      <c r="BU369" s="106"/>
    </row>
    <row r="370" spans="15:73"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  <c r="BL370" s="106"/>
      <c r="BM370" s="106"/>
      <c r="BN370" s="106"/>
      <c r="BO370" s="106"/>
      <c r="BP370" s="106"/>
      <c r="BQ370" s="106"/>
      <c r="BR370" s="106"/>
      <c r="BS370" s="106"/>
      <c r="BT370" s="106"/>
      <c r="BU370" s="106"/>
    </row>
    <row r="371" spans="15:73"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  <c r="BL371" s="106"/>
      <c r="BM371" s="106"/>
      <c r="BN371" s="106"/>
      <c r="BO371" s="106"/>
      <c r="BP371" s="106"/>
      <c r="BQ371" s="106"/>
      <c r="BR371" s="106"/>
      <c r="BS371" s="106"/>
      <c r="BT371" s="106"/>
      <c r="BU371" s="106"/>
    </row>
    <row r="372" spans="15:73"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  <c r="BL372" s="106"/>
      <c r="BM372" s="106"/>
      <c r="BN372" s="106"/>
      <c r="BO372" s="106"/>
      <c r="BP372" s="106"/>
      <c r="BQ372" s="106"/>
      <c r="BR372" s="106"/>
      <c r="BS372" s="106"/>
      <c r="BT372" s="106"/>
      <c r="BU372" s="106"/>
    </row>
    <row r="373" spans="15:73"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  <c r="BL373" s="106"/>
      <c r="BM373" s="106"/>
      <c r="BN373" s="106"/>
      <c r="BO373" s="106"/>
      <c r="BP373" s="106"/>
      <c r="BQ373" s="106"/>
      <c r="BR373" s="106"/>
      <c r="BS373" s="106"/>
      <c r="BT373" s="106"/>
      <c r="BU373" s="106"/>
    </row>
    <row r="374" spans="15:73"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  <c r="BL374" s="106"/>
      <c r="BM374" s="106"/>
      <c r="BN374" s="106"/>
      <c r="BO374" s="106"/>
      <c r="BP374" s="106"/>
      <c r="BQ374" s="106"/>
      <c r="BR374" s="106"/>
      <c r="BS374" s="106"/>
      <c r="BT374" s="106"/>
      <c r="BU374" s="106"/>
    </row>
    <row r="375" spans="15:73"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  <c r="BL375" s="106"/>
      <c r="BM375" s="106"/>
      <c r="BN375" s="106"/>
      <c r="BO375" s="106"/>
      <c r="BP375" s="106"/>
      <c r="BQ375" s="106"/>
      <c r="BR375" s="106"/>
      <c r="BS375" s="106"/>
      <c r="BT375" s="106"/>
      <c r="BU375" s="106"/>
    </row>
    <row r="376" spans="15:73"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  <c r="BL376" s="106"/>
      <c r="BM376" s="106"/>
      <c r="BN376" s="106"/>
      <c r="BO376" s="106"/>
      <c r="BP376" s="106"/>
      <c r="BQ376" s="106"/>
      <c r="BR376" s="106"/>
      <c r="BS376" s="106"/>
      <c r="BT376" s="106"/>
      <c r="BU376" s="106"/>
    </row>
    <row r="377" spans="15:73"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O377" s="106"/>
      <c r="BP377" s="106"/>
      <c r="BQ377" s="106"/>
      <c r="BR377" s="106"/>
      <c r="BS377" s="106"/>
      <c r="BT377" s="106"/>
      <c r="BU377" s="106"/>
    </row>
    <row r="378" spans="15:73"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  <c r="BL378" s="106"/>
      <c r="BM378" s="106"/>
      <c r="BN378" s="106"/>
      <c r="BO378" s="106"/>
      <c r="BP378" s="106"/>
      <c r="BQ378" s="106"/>
      <c r="BR378" s="106"/>
      <c r="BS378" s="106"/>
      <c r="BT378" s="106"/>
      <c r="BU378" s="106"/>
    </row>
    <row r="379" spans="15:73"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  <c r="BL379" s="106"/>
      <c r="BM379" s="106"/>
      <c r="BN379" s="106"/>
      <c r="BO379" s="106"/>
      <c r="BP379" s="106"/>
      <c r="BQ379" s="106"/>
      <c r="BR379" s="106"/>
      <c r="BS379" s="106"/>
      <c r="BT379" s="106"/>
      <c r="BU379" s="106"/>
    </row>
    <row r="380" spans="15:73"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  <c r="BL380" s="106"/>
      <c r="BM380" s="106"/>
      <c r="BN380" s="106"/>
      <c r="BO380" s="106"/>
      <c r="BP380" s="106"/>
      <c r="BQ380" s="106"/>
      <c r="BR380" s="106"/>
      <c r="BS380" s="106"/>
      <c r="BT380" s="106"/>
      <c r="BU380" s="106"/>
    </row>
    <row r="381" spans="15:73"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  <c r="BL381" s="106"/>
      <c r="BM381" s="106"/>
      <c r="BN381" s="106"/>
      <c r="BO381" s="106"/>
      <c r="BP381" s="106"/>
      <c r="BQ381" s="106"/>
      <c r="BR381" s="106"/>
      <c r="BS381" s="106"/>
      <c r="BT381" s="106"/>
      <c r="BU381" s="106"/>
    </row>
    <row r="382" spans="15:73"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  <c r="BL382" s="106"/>
      <c r="BM382" s="106"/>
      <c r="BN382" s="106"/>
      <c r="BO382" s="106"/>
      <c r="BP382" s="106"/>
      <c r="BQ382" s="106"/>
      <c r="BR382" s="106"/>
      <c r="BS382" s="106"/>
      <c r="BT382" s="106"/>
      <c r="BU382" s="106"/>
    </row>
    <row r="383" spans="15:73"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  <c r="BL383" s="106"/>
      <c r="BM383" s="106"/>
      <c r="BN383" s="106"/>
      <c r="BO383" s="106"/>
      <c r="BP383" s="106"/>
      <c r="BQ383" s="106"/>
      <c r="BR383" s="106"/>
      <c r="BS383" s="106"/>
      <c r="BT383" s="106"/>
      <c r="BU383" s="106"/>
    </row>
    <row r="384" spans="15:73"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 s="106"/>
      <c r="BQ384" s="106"/>
      <c r="BR384" s="106"/>
      <c r="BS384" s="106"/>
      <c r="BT384" s="106"/>
      <c r="BU384" s="106"/>
    </row>
    <row r="385" spans="15:73"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  <c r="BL385" s="106"/>
      <c r="BM385" s="106"/>
      <c r="BN385" s="106"/>
      <c r="BO385" s="106"/>
      <c r="BP385" s="106"/>
      <c r="BQ385" s="106"/>
      <c r="BR385" s="106"/>
      <c r="BS385" s="106"/>
      <c r="BT385" s="106"/>
      <c r="BU385" s="106"/>
    </row>
    <row r="386" spans="15:73"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  <c r="BL386" s="106"/>
      <c r="BM386" s="106"/>
      <c r="BN386" s="106"/>
      <c r="BO386" s="106"/>
      <c r="BP386" s="106"/>
      <c r="BQ386" s="106"/>
      <c r="BR386" s="106"/>
      <c r="BS386" s="106"/>
      <c r="BT386" s="106"/>
      <c r="BU386" s="106"/>
    </row>
    <row r="387" spans="15:73"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  <c r="BL387" s="106"/>
      <c r="BM387" s="106"/>
      <c r="BN387" s="106"/>
      <c r="BO387" s="106"/>
      <c r="BP387" s="106"/>
      <c r="BQ387" s="106"/>
      <c r="BR387" s="106"/>
      <c r="BS387" s="106"/>
      <c r="BT387" s="106"/>
      <c r="BU387" s="106"/>
    </row>
    <row r="388" spans="15:73"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  <c r="BL388" s="106"/>
      <c r="BM388" s="106"/>
      <c r="BN388" s="106"/>
      <c r="BO388" s="106"/>
      <c r="BP388" s="106"/>
      <c r="BQ388" s="106"/>
      <c r="BR388" s="106"/>
      <c r="BS388" s="106"/>
      <c r="BT388" s="106"/>
      <c r="BU388" s="106"/>
    </row>
    <row r="389" spans="15:73"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  <c r="BL389" s="106"/>
      <c r="BM389" s="106"/>
      <c r="BN389" s="106"/>
      <c r="BO389" s="106"/>
      <c r="BP389" s="106"/>
      <c r="BQ389" s="106"/>
      <c r="BR389" s="106"/>
      <c r="BS389" s="106"/>
      <c r="BT389" s="106"/>
      <c r="BU389" s="106"/>
    </row>
    <row r="390" spans="15:73"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  <c r="BL390" s="106"/>
      <c r="BM390" s="106"/>
      <c r="BN390" s="106"/>
      <c r="BO390" s="106"/>
      <c r="BP390" s="106"/>
      <c r="BQ390" s="106"/>
      <c r="BR390" s="106"/>
      <c r="BS390" s="106"/>
      <c r="BT390" s="106"/>
      <c r="BU390" s="106"/>
    </row>
    <row r="391" spans="15:73"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 s="106"/>
      <c r="BQ391" s="106"/>
      <c r="BR391" s="106"/>
      <c r="BS391" s="106"/>
      <c r="BT391" s="106"/>
      <c r="BU391" s="106"/>
    </row>
    <row r="392" spans="15:73"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  <c r="BB392" s="106"/>
      <c r="BC392" s="106"/>
      <c r="BD392" s="106"/>
      <c r="BE392" s="106"/>
      <c r="BF392" s="106"/>
      <c r="BG392" s="106"/>
      <c r="BH392" s="106"/>
      <c r="BI392" s="106"/>
      <c r="BJ392" s="106"/>
      <c r="BK392" s="106"/>
      <c r="BL392" s="106"/>
      <c r="BM392" s="106"/>
      <c r="BN392" s="106"/>
      <c r="BO392" s="106"/>
      <c r="BP392" s="106"/>
      <c r="BQ392" s="106"/>
      <c r="BR392" s="106"/>
      <c r="BS392" s="106"/>
      <c r="BT392" s="106"/>
      <c r="BU392" s="106"/>
    </row>
    <row r="393" spans="15:73"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/>
      <c r="BE393" s="106"/>
      <c r="BF393" s="106"/>
      <c r="BG393" s="106"/>
      <c r="BH393" s="106"/>
      <c r="BI393" s="106"/>
      <c r="BJ393" s="106"/>
      <c r="BK393" s="106"/>
      <c r="BL393" s="106"/>
      <c r="BM393" s="106"/>
      <c r="BN393" s="106"/>
      <c r="BO393" s="106"/>
      <c r="BP393" s="106"/>
      <c r="BQ393" s="106"/>
      <c r="BR393" s="106"/>
      <c r="BS393" s="106"/>
      <c r="BT393" s="106"/>
      <c r="BU393" s="106"/>
    </row>
    <row r="394" spans="15:73"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  <c r="BB394" s="106"/>
      <c r="BC394" s="106"/>
      <c r="BD394" s="106"/>
      <c r="BE394" s="106"/>
      <c r="BF394" s="106"/>
      <c r="BG394" s="106"/>
      <c r="BH394" s="106"/>
      <c r="BI394" s="106"/>
      <c r="BJ394" s="106"/>
      <c r="BK394" s="106"/>
      <c r="BL394" s="106"/>
      <c r="BM394" s="106"/>
      <c r="BN394" s="106"/>
      <c r="BO394" s="106"/>
      <c r="BP394" s="106"/>
      <c r="BQ394" s="106"/>
      <c r="BR394" s="106"/>
      <c r="BS394" s="106"/>
      <c r="BT394" s="106"/>
      <c r="BU394" s="106"/>
    </row>
    <row r="395" spans="15:73"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  <c r="AU395" s="106"/>
      <c r="AV395" s="106"/>
      <c r="AW395" s="106"/>
      <c r="AX395" s="106"/>
      <c r="AY395" s="106"/>
      <c r="AZ395" s="106"/>
      <c r="BA395" s="106"/>
      <c r="BB395" s="106"/>
      <c r="BC395" s="106"/>
      <c r="BD395" s="106"/>
      <c r="BE395" s="106"/>
      <c r="BF395" s="106"/>
      <c r="BG395" s="106"/>
      <c r="BH395" s="106"/>
      <c r="BI395" s="106"/>
      <c r="BJ395" s="106"/>
      <c r="BK395" s="106"/>
      <c r="BL395" s="106"/>
      <c r="BM395" s="106"/>
      <c r="BN395" s="106"/>
      <c r="BO395" s="106"/>
      <c r="BP395" s="106"/>
      <c r="BQ395" s="106"/>
      <c r="BR395" s="106"/>
      <c r="BS395" s="106"/>
      <c r="BT395" s="106"/>
      <c r="BU395" s="106"/>
    </row>
    <row r="396" spans="15:73"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6"/>
      <c r="AV396" s="106"/>
      <c r="AW396" s="106"/>
      <c r="AX396" s="106"/>
      <c r="AY396" s="106"/>
      <c r="AZ396" s="106"/>
      <c r="BA396" s="106"/>
      <c r="BB396" s="106"/>
      <c r="BC396" s="106"/>
      <c r="BD396" s="106"/>
      <c r="BE396" s="106"/>
      <c r="BF396" s="106"/>
      <c r="BG396" s="106"/>
      <c r="BH396" s="106"/>
      <c r="BI396" s="106"/>
      <c r="BJ396" s="106"/>
      <c r="BK396" s="106"/>
      <c r="BL396" s="106"/>
      <c r="BM396" s="106"/>
      <c r="BN396" s="106"/>
      <c r="BO396" s="106"/>
      <c r="BP396" s="106"/>
      <c r="BQ396" s="106"/>
      <c r="BR396" s="106"/>
      <c r="BS396" s="106"/>
      <c r="BT396" s="106"/>
      <c r="BU396" s="106"/>
    </row>
    <row r="397" spans="15:73"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106"/>
      <c r="AR397" s="106"/>
      <c r="AS397" s="106"/>
      <c r="AT397" s="106"/>
      <c r="AU397" s="106"/>
      <c r="AV397" s="106"/>
      <c r="AW397" s="106"/>
      <c r="AX397" s="106"/>
      <c r="AY397" s="106"/>
      <c r="AZ397" s="106"/>
      <c r="BA397" s="106"/>
      <c r="BB397" s="106"/>
      <c r="BC397" s="106"/>
      <c r="BD397" s="106"/>
      <c r="BE397" s="106"/>
      <c r="BF397" s="106"/>
      <c r="BG397" s="106"/>
      <c r="BH397" s="106"/>
      <c r="BI397" s="106"/>
      <c r="BJ397" s="106"/>
      <c r="BK397" s="106"/>
      <c r="BL397" s="106"/>
      <c r="BM397" s="106"/>
      <c r="BN397" s="106"/>
      <c r="BO397" s="106"/>
      <c r="BP397" s="106"/>
      <c r="BQ397" s="106"/>
      <c r="BR397" s="106"/>
      <c r="BS397" s="106"/>
      <c r="BT397" s="106"/>
      <c r="BU397" s="106"/>
    </row>
    <row r="398" spans="15:73"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106"/>
      <c r="AR398" s="106"/>
      <c r="AS398" s="106"/>
      <c r="AT398" s="106"/>
      <c r="AU398" s="106"/>
      <c r="AV398" s="106"/>
      <c r="AW398" s="106"/>
      <c r="AX398" s="106"/>
      <c r="AY398" s="106"/>
      <c r="AZ398" s="106"/>
      <c r="BA398" s="106"/>
      <c r="BB398" s="106"/>
      <c r="BC398" s="106"/>
      <c r="BD398" s="106"/>
      <c r="BE398" s="106"/>
      <c r="BF398" s="106"/>
      <c r="BG398" s="106"/>
      <c r="BH398" s="106"/>
      <c r="BI398" s="106"/>
      <c r="BJ398" s="106"/>
      <c r="BK398" s="106"/>
      <c r="BL398" s="106"/>
      <c r="BM398" s="106"/>
      <c r="BN398" s="106"/>
      <c r="BO398" s="106"/>
      <c r="BP398" s="106"/>
      <c r="BQ398" s="106"/>
      <c r="BR398" s="106"/>
      <c r="BS398" s="106"/>
      <c r="BT398" s="106"/>
      <c r="BU398" s="106"/>
    </row>
    <row r="399" spans="15:73"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  <c r="AU399" s="106"/>
      <c r="AV399" s="106"/>
      <c r="AW399" s="106"/>
      <c r="AX399" s="106"/>
      <c r="AY399" s="106"/>
      <c r="AZ399" s="106"/>
      <c r="BA399" s="106"/>
      <c r="BB399" s="106"/>
      <c r="BC399" s="106"/>
      <c r="BD399" s="106"/>
      <c r="BE399" s="106"/>
      <c r="BF399" s="106"/>
      <c r="BG399" s="106"/>
      <c r="BH399" s="106"/>
      <c r="BI399" s="106"/>
      <c r="BJ399" s="106"/>
      <c r="BK399" s="106"/>
      <c r="BL399" s="106"/>
      <c r="BM399" s="106"/>
      <c r="BN399" s="106"/>
      <c r="BO399" s="106"/>
      <c r="BP399" s="106"/>
      <c r="BQ399" s="106"/>
      <c r="BR399" s="106"/>
      <c r="BS399" s="106"/>
      <c r="BT399" s="106"/>
      <c r="BU399" s="106"/>
    </row>
    <row r="400" spans="15:73"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6"/>
      <c r="AV400" s="106"/>
      <c r="AW400" s="106"/>
      <c r="AX400" s="106"/>
      <c r="AY400" s="106"/>
      <c r="AZ400" s="106"/>
      <c r="BA400" s="106"/>
      <c r="BB400" s="106"/>
      <c r="BC400" s="106"/>
      <c r="BD400" s="106"/>
      <c r="BE400" s="106"/>
      <c r="BF400" s="106"/>
      <c r="BG400" s="106"/>
      <c r="BH400" s="106"/>
      <c r="BI400" s="106"/>
      <c r="BJ400" s="106"/>
      <c r="BK400" s="106"/>
      <c r="BL400" s="106"/>
      <c r="BM400" s="106"/>
      <c r="BN400" s="106"/>
      <c r="BO400" s="106"/>
      <c r="BP400" s="106"/>
      <c r="BQ400" s="106"/>
      <c r="BR400" s="106"/>
      <c r="BS400" s="106"/>
      <c r="BT400" s="106"/>
      <c r="BU400" s="106"/>
    </row>
    <row r="401" spans="15:73"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6"/>
      <c r="AV401" s="106"/>
      <c r="AW401" s="106"/>
      <c r="AX401" s="106"/>
      <c r="AY401" s="106"/>
      <c r="AZ401" s="106"/>
      <c r="BA401" s="106"/>
      <c r="BB401" s="106"/>
      <c r="BC401" s="106"/>
      <c r="BD401" s="106"/>
      <c r="BE401" s="106"/>
      <c r="BF401" s="106"/>
      <c r="BG401" s="106"/>
      <c r="BH401" s="106"/>
      <c r="BI401" s="106"/>
      <c r="BJ401" s="106"/>
      <c r="BK401" s="106"/>
      <c r="BL401" s="106"/>
      <c r="BM401" s="106"/>
      <c r="BN401" s="106"/>
      <c r="BO401" s="106"/>
      <c r="BP401" s="106"/>
      <c r="BQ401" s="106"/>
      <c r="BR401" s="106"/>
      <c r="BS401" s="106"/>
      <c r="BT401" s="106"/>
      <c r="BU401" s="106"/>
    </row>
    <row r="402" spans="15:73"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06"/>
      <c r="AY402" s="106"/>
      <c r="AZ402" s="106"/>
      <c r="BA402" s="106"/>
      <c r="BB402" s="106"/>
      <c r="BC402" s="106"/>
      <c r="BD402" s="106"/>
      <c r="BE402" s="106"/>
      <c r="BF402" s="106"/>
      <c r="BG402" s="106"/>
      <c r="BH402" s="106"/>
      <c r="BI402" s="106"/>
      <c r="BJ402" s="106"/>
      <c r="BK402" s="106"/>
      <c r="BL402" s="106"/>
      <c r="BM402" s="106"/>
      <c r="BN402" s="106"/>
      <c r="BO402" s="106"/>
      <c r="BP402" s="106"/>
      <c r="BQ402" s="106"/>
      <c r="BR402" s="106"/>
      <c r="BS402" s="106"/>
      <c r="BT402" s="106"/>
      <c r="BU402" s="106"/>
    </row>
    <row r="403" spans="15:73"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6"/>
      <c r="BA403" s="106"/>
      <c r="BB403" s="106"/>
      <c r="BC403" s="106"/>
      <c r="BD403" s="106"/>
      <c r="BE403" s="106"/>
      <c r="BF403" s="106"/>
      <c r="BG403" s="106"/>
      <c r="BH403" s="106"/>
      <c r="BI403" s="106"/>
      <c r="BJ403" s="106"/>
      <c r="BK403" s="106"/>
      <c r="BL403" s="106"/>
      <c r="BM403" s="106"/>
      <c r="BN403" s="106"/>
      <c r="BO403" s="106"/>
      <c r="BP403" s="106"/>
      <c r="BQ403" s="106"/>
      <c r="BR403" s="106"/>
      <c r="BS403" s="106"/>
      <c r="BT403" s="106"/>
      <c r="BU403" s="106"/>
    </row>
    <row r="404" spans="15:73"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  <c r="AZ404" s="106"/>
      <c r="BA404" s="106"/>
      <c r="BB404" s="106"/>
      <c r="BC404" s="106"/>
      <c r="BD404" s="106"/>
      <c r="BE404" s="106"/>
      <c r="BF404" s="106"/>
      <c r="BG404" s="106"/>
      <c r="BH404" s="106"/>
      <c r="BI404" s="106"/>
      <c r="BJ404" s="106"/>
      <c r="BK404" s="106"/>
      <c r="BL404" s="106"/>
      <c r="BM404" s="106"/>
      <c r="BN404" s="106"/>
      <c r="BO404" s="106"/>
      <c r="BP404" s="106"/>
      <c r="BQ404" s="106"/>
      <c r="BR404" s="106"/>
      <c r="BS404" s="106"/>
      <c r="BT404" s="106"/>
      <c r="BU404" s="106"/>
    </row>
    <row r="405" spans="15:73"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  <c r="AU405" s="106"/>
      <c r="AV405" s="106"/>
      <c r="AW405" s="106"/>
      <c r="AX405" s="106"/>
      <c r="AY405" s="106"/>
      <c r="AZ405" s="106"/>
      <c r="BA405" s="106"/>
      <c r="BB405" s="106"/>
      <c r="BC405" s="106"/>
      <c r="BD405" s="106"/>
      <c r="BE405" s="106"/>
      <c r="BF405" s="106"/>
      <c r="BG405" s="106"/>
      <c r="BH405" s="106"/>
      <c r="BI405" s="106"/>
      <c r="BJ405" s="106"/>
      <c r="BK405" s="106"/>
      <c r="BL405" s="106"/>
      <c r="BM405" s="106"/>
      <c r="BN405" s="106"/>
      <c r="BO405" s="106"/>
      <c r="BP405" s="106"/>
      <c r="BQ405" s="106"/>
      <c r="BR405" s="106"/>
      <c r="BS405" s="106"/>
      <c r="BT405" s="106"/>
      <c r="BU405" s="106"/>
    </row>
    <row r="406" spans="15:73"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6"/>
      <c r="AV406" s="106"/>
      <c r="AW406" s="106"/>
      <c r="AX406" s="106"/>
      <c r="AY406" s="106"/>
      <c r="AZ406" s="106"/>
      <c r="BA406" s="106"/>
      <c r="BB406" s="106"/>
      <c r="BC406" s="106"/>
      <c r="BD406" s="106"/>
      <c r="BE406" s="106"/>
      <c r="BF406" s="106"/>
      <c r="BG406" s="106"/>
      <c r="BH406" s="106"/>
      <c r="BI406" s="106"/>
      <c r="BJ406" s="106"/>
      <c r="BK406" s="106"/>
      <c r="BL406" s="106"/>
      <c r="BM406" s="106"/>
      <c r="BN406" s="106"/>
      <c r="BO406" s="106"/>
      <c r="BP406" s="106"/>
      <c r="BQ406" s="106"/>
      <c r="BR406" s="106"/>
      <c r="BS406" s="106"/>
      <c r="BT406" s="106"/>
      <c r="BU406" s="106"/>
    </row>
    <row r="407" spans="15:73"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6"/>
      <c r="AV407" s="106"/>
      <c r="AW407" s="106"/>
      <c r="AX407" s="106"/>
      <c r="AY407" s="106"/>
      <c r="AZ407" s="106"/>
      <c r="BA407" s="106"/>
      <c r="BB407" s="106"/>
      <c r="BC407" s="106"/>
      <c r="BD407" s="106"/>
      <c r="BE407" s="106"/>
      <c r="BF407" s="106"/>
      <c r="BG407" s="106"/>
      <c r="BH407" s="106"/>
      <c r="BI407" s="106"/>
      <c r="BJ407" s="106"/>
      <c r="BK407" s="106"/>
      <c r="BL407" s="106"/>
      <c r="BM407" s="106"/>
      <c r="BN407" s="106"/>
      <c r="BO407" s="106"/>
      <c r="BP407" s="106"/>
      <c r="BQ407" s="106"/>
      <c r="BR407" s="106"/>
      <c r="BS407" s="106"/>
      <c r="BT407" s="106"/>
      <c r="BU407" s="106"/>
    </row>
    <row r="408" spans="15:73"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6"/>
      <c r="AV408" s="106"/>
      <c r="AW408" s="106"/>
      <c r="AX408" s="106"/>
      <c r="AY408" s="106"/>
      <c r="AZ408" s="106"/>
      <c r="BA408" s="106"/>
      <c r="BB408" s="106"/>
      <c r="BC408" s="106"/>
      <c r="BD408" s="106"/>
      <c r="BE408" s="106"/>
      <c r="BF408" s="106"/>
      <c r="BG408" s="106"/>
      <c r="BH408" s="106"/>
      <c r="BI408" s="106"/>
      <c r="BJ408" s="106"/>
      <c r="BK408" s="106"/>
      <c r="BL408" s="106"/>
      <c r="BM408" s="106"/>
      <c r="BN408" s="106"/>
      <c r="BO408" s="106"/>
      <c r="BP408" s="106"/>
      <c r="BQ408" s="106"/>
      <c r="BR408" s="106"/>
      <c r="BS408" s="106"/>
      <c r="BT408" s="106"/>
      <c r="BU408" s="106"/>
    </row>
    <row r="409" spans="15:73"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  <c r="AU409" s="106"/>
      <c r="AV409" s="106"/>
      <c r="AW409" s="106"/>
      <c r="AX409" s="106"/>
      <c r="AY409" s="106"/>
      <c r="AZ409" s="106"/>
      <c r="BA409" s="106"/>
      <c r="BB409" s="106"/>
      <c r="BC409" s="106"/>
      <c r="BD409" s="106"/>
      <c r="BE409" s="106"/>
      <c r="BF409" s="106"/>
      <c r="BG409" s="106"/>
      <c r="BH409" s="106"/>
      <c r="BI409" s="106"/>
      <c r="BJ409" s="106"/>
      <c r="BK409" s="106"/>
      <c r="BL409" s="106"/>
      <c r="BM409" s="106"/>
      <c r="BN409" s="106"/>
      <c r="BO409" s="106"/>
      <c r="BP409" s="106"/>
      <c r="BQ409" s="106"/>
      <c r="BR409" s="106"/>
      <c r="BS409" s="106"/>
      <c r="BT409" s="106"/>
      <c r="BU409" s="106"/>
    </row>
    <row r="410" spans="15:73"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  <c r="AU410" s="106"/>
      <c r="AV410" s="106"/>
      <c r="AW410" s="106"/>
      <c r="AX410" s="106"/>
      <c r="AY410" s="106"/>
      <c r="AZ410" s="106"/>
      <c r="BA410" s="106"/>
      <c r="BB410" s="106"/>
      <c r="BC410" s="106"/>
      <c r="BD410" s="106"/>
      <c r="BE410" s="106"/>
      <c r="BF410" s="106"/>
      <c r="BG410" s="106"/>
      <c r="BH410" s="106"/>
      <c r="BI410" s="106"/>
      <c r="BJ410" s="106"/>
      <c r="BK410" s="106"/>
      <c r="BL410" s="106"/>
      <c r="BM410" s="106"/>
      <c r="BN410" s="106"/>
      <c r="BO410" s="106"/>
      <c r="BP410" s="106"/>
      <c r="BQ410" s="106"/>
      <c r="BR410" s="106"/>
      <c r="BS410" s="106"/>
      <c r="BT410" s="106"/>
      <c r="BU410" s="106"/>
    </row>
    <row r="411" spans="15:73"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106"/>
      <c r="AY411" s="106"/>
      <c r="AZ411" s="106"/>
      <c r="BA411" s="106"/>
      <c r="BB411" s="106"/>
      <c r="BC411" s="106"/>
      <c r="BD411" s="106"/>
      <c r="BE411" s="106"/>
      <c r="BF411" s="106"/>
      <c r="BG411" s="106"/>
      <c r="BH411" s="106"/>
      <c r="BI411" s="106"/>
      <c r="BJ411" s="106"/>
      <c r="BK411" s="106"/>
      <c r="BL411" s="106"/>
      <c r="BM411" s="106"/>
      <c r="BN411" s="106"/>
      <c r="BO411" s="106"/>
      <c r="BP411" s="106"/>
      <c r="BQ411" s="106"/>
      <c r="BR411" s="106"/>
      <c r="BS411" s="106"/>
      <c r="BT411" s="106"/>
      <c r="BU411" s="106"/>
    </row>
    <row r="412" spans="15:73"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106"/>
      <c r="AY412" s="106"/>
      <c r="AZ412" s="106"/>
      <c r="BA412" s="106"/>
      <c r="BB412" s="106"/>
      <c r="BC412" s="106"/>
      <c r="BD412" s="106"/>
      <c r="BE412" s="106"/>
      <c r="BF412" s="106"/>
      <c r="BG412" s="106"/>
      <c r="BH412" s="106"/>
      <c r="BI412" s="106"/>
      <c r="BJ412" s="106"/>
      <c r="BK412" s="106"/>
      <c r="BL412" s="106"/>
      <c r="BM412" s="106"/>
      <c r="BN412" s="106"/>
      <c r="BO412" s="106"/>
      <c r="BP412" s="106"/>
      <c r="BQ412" s="106"/>
      <c r="BR412" s="106"/>
      <c r="BS412" s="106"/>
      <c r="BT412" s="106"/>
      <c r="BU412" s="106"/>
    </row>
    <row r="413" spans="15:73"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6"/>
      <c r="BB413" s="106"/>
      <c r="BC413" s="106"/>
      <c r="BD413" s="106"/>
      <c r="BE413" s="106"/>
      <c r="BF413" s="106"/>
      <c r="BG413" s="106"/>
      <c r="BH413" s="106"/>
      <c r="BI413" s="106"/>
      <c r="BJ413" s="106"/>
      <c r="BK413" s="106"/>
      <c r="BL413" s="106"/>
      <c r="BM413" s="106"/>
      <c r="BN413" s="106"/>
      <c r="BO413" s="106"/>
      <c r="BP413" s="106"/>
      <c r="BQ413" s="106"/>
      <c r="BR413" s="106"/>
      <c r="BS413" s="106"/>
      <c r="BT413" s="106"/>
      <c r="BU413" s="106"/>
    </row>
    <row r="414" spans="15:73"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6"/>
      <c r="AV414" s="106"/>
      <c r="AW414" s="106"/>
      <c r="AX414" s="106"/>
      <c r="AY414" s="106"/>
      <c r="AZ414" s="106"/>
      <c r="BA414" s="106"/>
      <c r="BB414" s="106"/>
      <c r="BC414" s="106"/>
      <c r="BD414" s="106"/>
      <c r="BE414" s="106"/>
      <c r="BF414" s="106"/>
      <c r="BG414" s="106"/>
      <c r="BH414" s="106"/>
      <c r="BI414" s="106"/>
      <c r="BJ414" s="106"/>
      <c r="BK414" s="106"/>
      <c r="BL414" s="106"/>
      <c r="BM414" s="106"/>
      <c r="BN414" s="106"/>
      <c r="BO414" s="106"/>
      <c r="BP414" s="106"/>
      <c r="BQ414" s="106"/>
      <c r="BR414" s="106"/>
      <c r="BS414" s="106"/>
      <c r="BT414" s="106"/>
      <c r="BU414" s="106"/>
    </row>
    <row r="415" spans="15:73"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6"/>
      <c r="AV415" s="106"/>
      <c r="AW415" s="106"/>
      <c r="AX415" s="106"/>
      <c r="AY415" s="106"/>
      <c r="AZ415" s="106"/>
      <c r="BA415" s="106"/>
      <c r="BB415" s="106"/>
      <c r="BC415" s="106"/>
      <c r="BD415" s="106"/>
      <c r="BE415" s="106"/>
      <c r="BF415" s="106"/>
      <c r="BG415" s="106"/>
      <c r="BH415" s="106"/>
      <c r="BI415" s="106"/>
      <c r="BJ415" s="106"/>
      <c r="BK415" s="106"/>
      <c r="BL415" s="106"/>
      <c r="BM415" s="106"/>
      <c r="BN415" s="106"/>
      <c r="BO415" s="106"/>
      <c r="BP415" s="106"/>
      <c r="BQ415" s="106"/>
      <c r="BR415" s="106"/>
      <c r="BS415" s="106"/>
      <c r="BT415" s="106"/>
      <c r="BU415" s="106"/>
    </row>
    <row r="416" spans="15:73"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  <c r="AU416" s="106"/>
      <c r="AV416" s="106"/>
      <c r="AW416" s="106"/>
      <c r="AX416" s="106"/>
      <c r="AY416" s="106"/>
      <c r="AZ416" s="106"/>
      <c r="BA416" s="106"/>
      <c r="BB416" s="106"/>
      <c r="BC416" s="106"/>
      <c r="BD416" s="106"/>
      <c r="BE416" s="106"/>
      <c r="BF416" s="106"/>
      <c r="BG416" s="106"/>
      <c r="BH416" s="106"/>
      <c r="BI416" s="106"/>
      <c r="BJ416" s="106"/>
      <c r="BK416" s="106"/>
      <c r="BL416" s="106"/>
      <c r="BM416" s="106"/>
      <c r="BN416" s="106"/>
      <c r="BO416" s="106"/>
      <c r="BP416" s="106"/>
      <c r="BQ416" s="106"/>
      <c r="BR416" s="106"/>
      <c r="BS416" s="106"/>
      <c r="BT416" s="106"/>
      <c r="BU416" s="106"/>
    </row>
    <row r="417" spans="15:73"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6"/>
      <c r="AV417" s="106"/>
      <c r="AW417" s="106"/>
      <c r="AX417" s="106"/>
      <c r="AY417" s="106"/>
      <c r="AZ417" s="106"/>
      <c r="BA417" s="106"/>
      <c r="BB417" s="106"/>
      <c r="BC417" s="106"/>
      <c r="BD417" s="106"/>
      <c r="BE417" s="106"/>
      <c r="BF417" s="106"/>
      <c r="BG417" s="106"/>
      <c r="BH417" s="106"/>
      <c r="BI417" s="106"/>
      <c r="BJ417" s="106"/>
      <c r="BK417" s="106"/>
      <c r="BL417" s="106"/>
      <c r="BM417" s="106"/>
      <c r="BN417" s="106"/>
      <c r="BO417" s="106"/>
      <c r="BP417" s="106"/>
      <c r="BQ417" s="106"/>
      <c r="BR417" s="106"/>
      <c r="BS417" s="106"/>
      <c r="BT417" s="106"/>
      <c r="BU417" s="106"/>
    </row>
    <row r="418" spans="15:73"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6"/>
      <c r="AV418" s="106"/>
      <c r="AW418" s="106"/>
      <c r="AX418" s="106"/>
      <c r="AY418" s="106"/>
      <c r="AZ418" s="106"/>
      <c r="BA418" s="106"/>
      <c r="BB418" s="106"/>
      <c r="BC418" s="106"/>
      <c r="BD418" s="106"/>
      <c r="BE418" s="106"/>
      <c r="BF418" s="106"/>
      <c r="BG418" s="106"/>
      <c r="BH418" s="106"/>
      <c r="BI418" s="106"/>
      <c r="BJ418" s="106"/>
      <c r="BK418" s="106"/>
      <c r="BL418" s="106"/>
      <c r="BM418" s="106"/>
      <c r="BN418" s="106"/>
      <c r="BO418" s="106"/>
      <c r="BP418" s="106"/>
      <c r="BQ418" s="106"/>
      <c r="BR418" s="106"/>
      <c r="BS418" s="106"/>
      <c r="BT418" s="106"/>
      <c r="BU418" s="106"/>
    </row>
    <row r="419" spans="15:73"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  <c r="AU419" s="106"/>
      <c r="AV419" s="106"/>
      <c r="AW419" s="106"/>
      <c r="AX419" s="106"/>
      <c r="AY419" s="106"/>
      <c r="AZ419" s="106"/>
      <c r="BA419" s="106"/>
      <c r="BB419" s="106"/>
      <c r="BC419" s="106"/>
      <c r="BD419" s="106"/>
      <c r="BE419" s="106"/>
      <c r="BF419" s="106"/>
      <c r="BG419" s="106"/>
      <c r="BH419" s="106"/>
      <c r="BI419" s="106"/>
      <c r="BJ419" s="106"/>
      <c r="BK419" s="106"/>
      <c r="BL419" s="106"/>
      <c r="BM419" s="106"/>
      <c r="BN419" s="106"/>
      <c r="BO419" s="106"/>
      <c r="BP419" s="106"/>
      <c r="BQ419" s="106"/>
      <c r="BR419" s="106"/>
      <c r="BS419" s="106"/>
      <c r="BT419" s="106"/>
      <c r="BU419" s="106"/>
    </row>
    <row r="420" spans="15:73"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106"/>
      <c r="AY420" s="106"/>
      <c r="AZ420" s="106"/>
      <c r="BA420" s="106"/>
      <c r="BB420" s="106"/>
      <c r="BC420" s="106"/>
      <c r="BD420" s="106"/>
      <c r="BE420" s="106"/>
      <c r="BF420" s="106"/>
      <c r="BG420" s="106"/>
      <c r="BH420" s="106"/>
      <c r="BI420" s="106"/>
      <c r="BJ420" s="106"/>
      <c r="BK420" s="106"/>
      <c r="BL420" s="106"/>
      <c r="BM420" s="106"/>
      <c r="BN420" s="106"/>
      <c r="BO420" s="106"/>
      <c r="BP420" s="106"/>
      <c r="BQ420" s="106"/>
      <c r="BR420" s="106"/>
      <c r="BS420" s="106"/>
      <c r="BT420" s="106"/>
      <c r="BU420" s="106"/>
    </row>
    <row r="421" spans="15:73"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6"/>
      <c r="AV421" s="106"/>
      <c r="AW421" s="106"/>
      <c r="AX421" s="106"/>
      <c r="AY421" s="106"/>
      <c r="AZ421" s="106"/>
      <c r="BA421" s="106"/>
      <c r="BB421" s="106"/>
      <c r="BC421" s="106"/>
      <c r="BD421" s="106"/>
      <c r="BE421" s="106"/>
      <c r="BF421" s="106"/>
      <c r="BG421" s="106"/>
      <c r="BH421" s="106"/>
      <c r="BI421" s="106"/>
      <c r="BJ421" s="106"/>
      <c r="BK421" s="106"/>
      <c r="BL421" s="106"/>
      <c r="BM421" s="106"/>
      <c r="BN421" s="106"/>
      <c r="BO421" s="106"/>
      <c r="BP421" s="106"/>
      <c r="BQ421" s="106"/>
      <c r="BR421" s="106"/>
      <c r="BS421" s="106"/>
      <c r="BT421" s="106"/>
      <c r="BU421" s="106"/>
    </row>
    <row r="422" spans="15:73"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  <c r="AU422" s="106"/>
      <c r="AV422" s="106"/>
      <c r="AW422" s="106"/>
      <c r="AX422" s="106"/>
      <c r="AY422" s="106"/>
      <c r="AZ422" s="106"/>
      <c r="BA422" s="106"/>
      <c r="BB422" s="106"/>
      <c r="BC422" s="106"/>
      <c r="BD422" s="106"/>
      <c r="BE422" s="106"/>
      <c r="BF422" s="106"/>
      <c r="BG422" s="106"/>
      <c r="BH422" s="106"/>
      <c r="BI422" s="106"/>
      <c r="BJ422" s="106"/>
      <c r="BK422" s="106"/>
      <c r="BL422" s="106"/>
      <c r="BM422" s="106"/>
      <c r="BN422" s="106"/>
      <c r="BO422" s="106"/>
      <c r="BP422" s="106"/>
      <c r="BQ422" s="106"/>
      <c r="BR422" s="106"/>
      <c r="BS422" s="106"/>
      <c r="BT422" s="106"/>
      <c r="BU422" s="106"/>
    </row>
    <row r="423" spans="15:73"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  <c r="AU423" s="106"/>
      <c r="AV423" s="106"/>
      <c r="AW423" s="106"/>
      <c r="AX423" s="106"/>
      <c r="AY423" s="106"/>
      <c r="AZ423" s="106"/>
      <c r="BA423" s="106"/>
      <c r="BB423" s="106"/>
      <c r="BC423" s="106"/>
      <c r="BD423" s="106"/>
      <c r="BE423" s="106"/>
      <c r="BF423" s="106"/>
      <c r="BG423" s="106"/>
      <c r="BH423" s="106"/>
      <c r="BI423" s="106"/>
      <c r="BJ423" s="106"/>
      <c r="BK423" s="106"/>
      <c r="BL423" s="106"/>
      <c r="BM423" s="106"/>
      <c r="BN423" s="106"/>
      <c r="BO423" s="106"/>
      <c r="BP423" s="106"/>
      <c r="BQ423" s="106"/>
      <c r="BR423" s="106"/>
      <c r="BS423" s="106"/>
      <c r="BT423" s="106"/>
      <c r="BU423" s="106"/>
    </row>
    <row r="424" spans="15:73"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6"/>
      <c r="AV424" s="106"/>
      <c r="AW424" s="106"/>
      <c r="AX424" s="106"/>
      <c r="AY424" s="106"/>
      <c r="AZ424" s="106"/>
      <c r="BA424" s="106"/>
      <c r="BB424" s="106"/>
      <c r="BC424" s="106"/>
      <c r="BD424" s="106"/>
      <c r="BE424" s="106"/>
      <c r="BF424" s="106"/>
      <c r="BG424" s="106"/>
      <c r="BH424" s="106"/>
      <c r="BI424" s="106"/>
      <c r="BJ424" s="106"/>
      <c r="BK424" s="106"/>
      <c r="BL424" s="106"/>
      <c r="BM424" s="106"/>
      <c r="BN424" s="106"/>
      <c r="BO424" s="106"/>
      <c r="BP424" s="106"/>
      <c r="BQ424" s="106"/>
      <c r="BR424" s="106"/>
      <c r="BS424" s="106"/>
      <c r="BT424" s="106"/>
      <c r="BU424" s="106"/>
    </row>
    <row r="425" spans="15:73"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6"/>
      <c r="AV425" s="106"/>
      <c r="AW425" s="106"/>
      <c r="AX425" s="106"/>
      <c r="AY425" s="106"/>
      <c r="AZ425" s="106"/>
      <c r="BA425" s="106"/>
      <c r="BB425" s="106"/>
      <c r="BC425" s="106"/>
      <c r="BD425" s="106"/>
      <c r="BE425" s="106"/>
      <c r="BF425" s="106"/>
      <c r="BG425" s="106"/>
      <c r="BH425" s="106"/>
      <c r="BI425" s="106"/>
      <c r="BJ425" s="106"/>
      <c r="BK425" s="106"/>
      <c r="BL425" s="106"/>
      <c r="BM425" s="106"/>
      <c r="BN425" s="106"/>
      <c r="BO425" s="106"/>
      <c r="BP425" s="106"/>
      <c r="BQ425" s="106"/>
      <c r="BR425" s="106"/>
      <c r="BS425" s="106"/>
      <c r="BT425" s="106"/>
      <c r="BU425" s="106"/>
    </row>
    <row r="426" spans="15:73"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6"/>
      <c r="AV426" s="106"/>
      <c r="AW426" s="106"/>
      <c r="AX426" s="106"/>
      <c r="AY426" s="106"/>
      <c r="AZ426" s="106"/>
      <c r="BA426" s="106"/>
      <c r="BB426" s="106"/>
      <c r="BC426" s="106"/>
      <c r="BD426" s="106"/>
      <c r="BE426" s="106"/>
      <c r="BF426" s="106"/>
      <c r="BG426" s="106"/>
      <c r="BH426" s="106"/>
      <c r="BI426" s="106"/>
      <c r="BJ426" s="106"/>
      <c r="BK426" s="106"/>
      <c r="BL426" s="106"/>
      <c r="BM426" s="106"/>
      <c r="BN426" s="106"/>
      <c r="BO426" s="106"/>
      <c r="BP426" s="106"/>
      <c r="BQ426" s="106"/>
      <c r="BR426" s="106"/>
      <c r="BS426" s="106"/>
      <c r="BT426" s="106"/>
      <c r="BU426" s="106"/>
    </row>
    <row r="427" spans="15:73"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6"/>
      <c r="AV427" s="106"/>
      <c r="AW427" s="106"/>
      <c r="AX427" s="106"/>
      <c r="AY427" s="106"/>
      <c r="AZ427" s="106"/>
      <c r="BA427" s="106"/>
      <c r="BB427" s="106"/>
      <c r="BC427" s="106"/>
      <c r="BD427" s="106"/>
      <c r="BE427" s="106"/>
      <c r="BF427" s="106"/>
      <c r="BG427" s="106"/>
      <c r="BH427" s="106"/>
      <c r="BI427" s="106"/>
      <c r="BJ427" s="106"/>
      <c r="BK427" s="106"/>
      <c r="BL427" s="106"/>
      <c r="BM427" s="106"/>
      <c r="BN427" s="106"/>
      <c r="BO427" s="106"/>
      <c r="BP427" s="106"/>
      <c r="BQ427" s="106"/>
      <c r="BR427" s="106"/>
      <c r="BS427" s="106"/>
      <c r="BT427" s="106"/>
      <c r="BU427" s="106"/>
    </row>
    <row r="428" spans="15:73"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  <c r="AZ428" s="106"/>
      <c r="BA428" s="106"/>
      <c r="BB428" s="106"/>
      <c r="BC428" s="106"/>
      <c r="BD428" s="106"/>
      <c r="BE428" s="106"/>
      <c r="BF428" s="106"/>
      <c r="BG428" s="106"/>
      <c r="BH428" s="106"/>
      <c r="BI428" s="106"/>
      <c r="BJ428" s="106"/>
      <c r="BK428" s="106"/>
      <c r="BL428" s="106"/>
      <c r="BM428" s="106"/>
      <c r="BN428" s="106"/>
      <c r="BO428" s="106"/>
      <c r="BP428" s="106"/>
      <c r="BQ428" s="106"/>
      <c r="BR428" s="106"/>
      <c r="BS428" s="106"/>
      <c r="BT428" s="106"/>
      <c r="BU428" s="106"/>
    </row>
    <row r="429" spans="15:73"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106"/>
      <c r="AY429" s="106"/>
      <c r="AZ429" s="106"/>
      <c r="BA429" s="106"/>
      <c r="BB429" s="106"/>
      <c r="BC429" s="106"/>
      <c r="BD429" s="106"/>
      <c r="BE429" s="106"/>
      <c r="BF429" s="106"/>
      <c r="BG429" s="106"/>
      <c r="BH429" s="106"/>
      <c r="BI429" s="106"/>
      <c r="BJ429" s="106"/>
      <c r="BK429" s="106"/>
      <c r="BL429" s="106"/>
      <c r="BM429" s="106"/>
      <c r="BN429" s="106"/>
      <c r="BO429" s="106"/>
      <c r="BP429" s="106"/>
      <c r="BQ429" s="106"/>
      <c r="BR429" s="106"/>
      <c r="BS429" s="106"/>
      <c r="BT429" s="106"/>
      <c r="BU429" s="106"/>
    </row>
    <row r="430" spans="15:73"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106"/>
      <c r="AR430" s="106"/>
      <c r="AS430" s="106"/>
      <c r="AT430" s="106"/>
      <c r="AU430" s="106"/>
      <c r="AV430" s="106"/>
      <c r="AW430" s="106"/>
      <c r="AX430" s="106"/>
      <c r="AY430" s="106"/>
      <c r="AZ430" s="106"/>
      <c r="BA430" s="106"/>
      <c r="BB430" s="106"/>
      <c r="BC430" s="106"/>
      <c r="BD430" s="106"/>
      <c r="BE430" s="106"/>
      <c r="BF430" s="106"/>
      <c r="BG430" s="106"/>
      <c r="BH430" s="106"/>
      <c r="BI430" s="106"/>
      <c r="BJ430" s="106"/>
      <c r="BK430" s="106"/>
      <c r="BL430" s="106"/>
      <c r="BM430" s="106"/>
      <c r="BN430" s="106"/>
      <c r="BO430" s="106"/>
      <c r="BP430" s="106"/>
      <c r="BQ430" s="106"/>
      <c r="BR430" s="106"/>
      <c r="BS430" s="106"/>
      <c r="BT430" s="106"/>
      <c r="BU430" s="106"/>
    </row>
    <row r="431" spans="15:73"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6"/>
      <c r="AV431" s="106"/>
      <c r="AW431" s="106"/>
      <c r="AX431" s="106"/>
      <c r="AY431" s="106"/>
      <c r="AZ431" s="106"/>
      <c r="BA431" s="106"/>
      <c r="BB431" s="106"/>
      <c r="BC431" s="106"/>
      <c r="BD431" s="106"/>
      <c r="BE431" s="106"/>
      <c r="BF431" s="106"/>
      <c r="BG431" s="106"/>
      <c r="BH431" s="106"/>
      <c r="BI431" s="106"/>
      <c r="BJ431" s="106"/>
      <c r="BK431" s="106"/>
      <c r="BL431" s="106"/>
      <c r="BM431" s="106"/>
      <c r="BN431" s="106"/>
      <c r="BO431" s="106"/>
      <c r="BP431" s="106"/>
      <c r="BQ431" s="106"/>
      <c r="BR431" s="106"/>
      <c r="BS431" s="106"/>
      <c r="BT431" s="106"/>
      <c r="BU431" s="106"/>
    </row>
    <row r="432" spans="15:73"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6"/>
      <c r="AV432" s="106"/>
      <c r="AW432" s="106"/>
      <c r="AX432" s="106"/>
      <c r="AY432" s="106"/>
      <c r="AZ432" s="106"/>
      <c r="BA432" s="106"/>
      <c r="BB432" s="106"/>
      <c r="BC432" s="106"/>
      <c r="BD432" s="106"/>
      <c r="BE432" s="106"/>
      <c r="BF432" s="106"/>
      <c r="BG432" s="106"/>
      <c r="BH432" s="106"/>
      <c r="BI432" s="106"/>
      <c r="BJ432" s="106"/>
      <c r="BK432" s="106"/>
      <c r="BL432" s="106"/>
      <c r="BM432" s="106"/>
      <c r="BN432" s="106"/>
      <c r="BO432" s="106"/>
      <c r="BP432" s="106"/>
      <c r="BQ432" s="106"/>
      <c r="BR432" s="106"/>
      <c r="BS432" s="106"/>
      <c r="BT432" s="106"/>
      <c r="BU432" s="106"/>
    </row>
    <row r="433" spans="15:73"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6"/>
      <c r="AV433" s="106"/>
      <c r="AW433" s="106"/>
      <c r="AX433" s="106"/>
      <c r="AY433" s="106"/>
      <c r="AZ433" s="106"/>
      <c r="BA433" s="106"/>
      <c r="BB433" s="106"/>
      <c r="BC433" s="106"/>
      <c r="BD433" s="106"/>
      <c r="BE433" s="106"/>
      <c r="BF433" s="106"/>
      <c r="BG433" s="106"/>
      <c r="BH433" s="106"/>
      <c r="BI433" s="106"/>
      <c r="BJ433" s="106"/>
      <c r="BK433" s="106"/>
      <c r="BL433" s="106"/>
      <c r="BM433" s="106"/>
      <c r="BN433" s="106"/>
      <c r="BO433" s="106"/>
      <c r="BP433" s="106"/>
      <c r="BQ433" s="106"/>
      <c r="BR433" s="106"/>
      <c r="BS433" s="106"/>
      <c r="BT433" s="106"/>
      <c r="BU433" s="106"/>
    </row>
    <row r="434" spans="15:73"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  <c r="AU434" s="106"/>
      <c r="AV434" s="106"/>
      <c r="AW434" s="106"/>
      <c r="AX434" s="106"/>
      <c r="AY434" s="106"/>
      <c r="AZ434" s="106"/>
      <c r="BA434" s="106"/>
      <c r="BB434" s="106"/>
      <c r="BC434" s="106"/>
      <c r="BD434" s="106"/>
      <c r="BE434" s="106"/>
      <c r="BF434" s="106"/>
      <c r="BG434" s="106"/>
      <c r="BH434" s="106"/>
      <c r="BI434" s="106"/>
      <c r="BJ434" s="106"/>
      <c r="BK434" s="106"/>
      <c r="BL434" s="106"/>
      <c r="BM434" s="106"/>
      <c r="BN434" s="106"/>
      <c r="BO434" s="106"/>
      <c r="BP434" s="106"/>
      <c r="BQ434" s="106"/>
      <c r="BR434" s="106"/>
      <c r="BS434" s="106"/>
      <c r="BT434" s="106"/>
      <c r="BU434" s="106"/>
    </row>
    <row r="435" spans="15:73"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  <c r="AU435" s="106"/>
      <c r="AV435" s="106"/>
      <c r="AW435" s="106"/>
      <c r="AX435" s="106"/>
      <c r="AY435" s="106"/>
      <c r="AZ435" s="106"/>
      <c r="BA435" s="106"/>
      <c r="BB435" s="106"/>
      <c r="BC435" s="106"/>
      <c r="BD435" s="106"/>
      <c r="BE435" s="106"/>
      <c r="BF435" s="106"/>
      <c r="BG435" s="106"/>
      <c r="BH435" s="106"/>
      <c r="BI435" s="106"/>
      <c r="BJ435" s="106"/>
      <c r="BK435" s="106"/>
      <c r="BL435" s="106"/>
      <c r="BM435" s="106"/>
      <c r="BN435" s="106"/>
      <c r="BO435" s="106"/>
      <c r="BP435" s="106"/>
      <c r="BQ435" s="106"/>
      <c r="BR435" s="106"/>
      <c r="BS435" s="106"/>
      <c r="BT435" s="106"/>
      <c r="BU435" s="106"/>
    </row>
    <row r="436" spans="15:73"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  <c r="AU436" s="106"/>
      <c r="AV436" s="106"/>
      <c r="AW436" s="106"/>
      <c r="AX436" s="106"/>
      <c r="AY436" s="106"/>
      <c r="AZ436" s="106"/>
      <c r="BA436" s="106"/>
      <c r="BB436" s="106"/>
      <c r="BC436" s="106"/>
      <c r="BD436" s="106"/>
      <c r="BE436" s="106"/>
      <c r="BF436" s="106"/>
      <c r="BG436" s="106"/>
      <c r="BH436" s="106"/>
      <c r="BI436" s="106"/>
      <c r="BJ436" s="106"/>
      <c r="BK436" s="106"/>
      <c r="BL436" s="106"/>
      <c r="BM436" s="106"/>
      <c r="BN436" s="106"/>
      <c r="BO436" s="106"/>
      <c r="BP436" s="106"/>
      <c r="BQ436" s="106"/>
      <c r="BR436" s="106"/>
      <c r="BS436" s="106"/>
      <c r="BT436" s="106"/>
      <c r="BU436" s="106"/>
    </row>
    <row r="437" spans="15:73"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  <c r="AM437" s="106"/>
      <c r="AN437" s="106"/>
      <c r="AO437" s="106"/>
      <c r="AP437" s="106"/>
      <c r="AQ437" s="106"/>
      <c r="AR437" s="106"/>
      <c r="AS437" s="106"/>
      <c r="AT437" s="106"/>
      <c r="AU437" s="106"/>
      <c r="AV437" s="106"/>
      <c r="AW437" s="106"/>
      <c r="AX437" s="106"/>
      <c r="AY437" s="106"/>
      <c r="AZ437" s="106"/>
      <c r="BA437" s="106"/>
      <c r="BB437" s="106"/>
      <c r="BC437" s="106"/>
      <c r="BD437" s="106"/>
      <c r="BE437" s="106"/>
      <c r="BF437" s="106"/>
      <c r="BG437" s="106"/>
      <c r="BH437" s="106"/>
      <c r="BI437" s="106"/>
      <c r="BJ437" s="106"/>
      <c r="BK437" s="106"/>
      <c r="BL437" s="106"/>
      <c r="BM437" s="106"/>
      <c r="BN437" s="106"/>
      <c r="BO437" s="106"/>
      <c r="BP437" s="106"/>
      <c r="BQ437" s="106"/>
      <c r="BR437" s="106"/>
      <c r="BS437" s="106"/>
      <c r="BT437" s="106"/>
      <c r="BU437" s="106"/>
    </row>
    <row r="438" spans="15:73"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/>
      <c r="AQ438" s="106"/>
      <c r="AR438" s="106"/>
      <c r="AS438" s="106"/>
      <c r="AT438" s="106"/>
      <c r="AU438" s="106"/>
      <c r="AV438" s="106"/>
      <c r="AW438" s="106"/>
      <c r="AX438" s="106"/>
      <c r="AY438" s="106"/>
      <c r="AZ438" s="106"/>
      <c r="BA438" s="106"/>
      <c r="BB438" s="106"/>
      <c r="BC438" s="106"/>
      <c r="BD438" s="106"/>
      <c r="BE438" s="106"/>
      <c r="BF438" s="106"/>
      <c r="BG438" s="106"/>
      <c r="BH438" s="106"/>
      <c r="BI438" s="106"/>
      <c r="BJ438" s="106"/>
      <c r="BK438" s="106"/>
      <c r="BL438" s="106"/>
      <c r="BM438" s="106"/>
      <c r="BN438" s="106"/>
      <c r="BO438" s="106"/>
      <c r="BP438" s="106"/>
      <c r="BQ438" s="106"/>
      <c r="BR438" s="106"/>
      <c r="BS438" s="106"/>
      <c r="BT438" s="106"/>
      <c r="BU438" s="106"/>
    </row>
    <row r="439" spans="15:73"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106"/>
      <c r="AR439" s="106"/>
      <c r="AS439" s="106"/>
      <c r="AT439" s="106"/>
      <c r="AU439" s="106"/>
      <c r="AV439" s="106"/>
      <c r="AW439" s="106"/>
      <c r="AX439" s="106"/>
      <c r="AY439" s="106"/>
      <c r="AZ439" s="106"/>
      <c r="BA439" s="106"/>
      <c r="BB439" s="106"/>
      <c r="BC439" s="106"/>
      <c r="BD439" s="106"/>
      <c r="BE439" s="106"/>
      <c r="BF439" s="106"/>
      <c r="BG439" s="106"/>
      <c r="BH439" s="106"/>
      <c r="BI439" s="106"/>
      <c r="BJ439" s="106"/>
      <c r="BK439" s="106"/>
      <c r="BL439" s="106"/>
      <c r="BM439" s="106"/>
      <c r="BN439" s="106"/>
      <c r="BO439" s="106"/>
      <c r="BP439" s="106"/>
      <c r="BQ439" s="106"/>
      <c r="BR439" s="106"/>
      <c r="BS439" s="106"/>
      <c r="BT439" s="106"/>
      <c r="BU439" s="106"/>
    </row>
    <row r="440" spans="15:73"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106"/>
      <c r="AR440" s="106"/>
      <c r="AS440" s="106"/>
      <c r="AT440" s="106"/>
      <c r="AU440" s="106"/>
      <c r="AV440" s="106"/>
      <c r="AW440" s="106"/>
      <c r="AX440" s="106"/>
      <c r="AY440" s="106"/>
      <c r="AZ440" s="106"/>
      <c r="BA440" s="106"/>
      <c r="BB440" s="106"/>
      <c r="BC440" s="106"/>
      <c r="BD440" s="106"/>
      <c r="BE440" s="106"/>
      <c r="BF440" s="106"/>
      <c r="BG440" s="106"/>
      <c r="BH440" s="106"/>
      <c r="BI440" s="106"/>
      <c r="BJ440" s="106"/>
      <c r="BK440" s="106"/>
      <c r="BL440" s="106"/>
      <c r="BM440" s="106"/>
      <c r="BN440" s="106"/>
      <c r="BO440" s="106"/>
      <c r="BP440" s="106"/>
      <c r="BQ440" s="106"/>
      <c r="BR440" s="106"/>
      <c r="BS440" s="106"/>
      <c r="BT440" s="106"/>
      <c r="BU440" s="106"/>
    </row>
    <row r="441" spans="15:73"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106"/>
      <c r="AR441" s="106"/>
      <c r="AS441" s="106"/>
      <c r="AT441" s="106"/>
      <c r="AU441" s="106"/>
      <c r="AV441" s="106"/>
      <c r="AW441" s="106"/>
      <c r="AX441" s="106"/>
      <c r="AY441" s="106"/>
      <c r="AZ441" s="106"/>
      <c r="BA441" s="106"/>
      <c r="BB441" s="106"/>
      <c r="BC441" s="106"/>
      <c r="BD441" s="106"/>
      <c r="BE441" s="106"/>
      <c r="BF441" s="106"/>
      <c r="BG441" s="106"/>
      <c r="BH441" s="106"/>
      <c r="BI441" s="106"/>
      <c r="BJ441" s="106"/>
      <c r="BK441" s="106"/>
      <c r="BL441" s="106"/>
      <c r="BM441" s="106"/>
      <c r="BN441" s="106"/>
      <c r="BO441" s="106"/>
      <c r="BP441" s="106"/>
      <c r="BQ441" s="106"/>
      <c r="BR441" s="106"/>
      <c r="BS441" s="106"/>
      <c r="BT441" s="106"/>
      <c r="BU441" s="106"/>
    </row>
    <row r="442" spans="15:73"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106"/>
      <c r="AR442" s="106"/>
      <c r="AS442" s="106"/>
      <c r="AT442" s="106"/>
      <c r="AU442" s="106"/>
      <c r="AV442" s="106"/>
      <c r="AW442" s="106"/>
      <c r="AX442" s="106"/>
      <c r="AY442" s="106"/>
      <c r="AZ442" s="106"/>
      <c r="BA442" s="106"/>
      <c r="BB442" s="106"/>
      <c r="BC442" s="106"/>
      <c r="BD442" s="106"/>
      <c r="BE442" s="106"/>
      <c r="BF442" s="106"/>
      <c r="BG442" s="106"/>
      <c r="BH442" s="106"/>
      <c r="BI442" s="106"/>
      <c r="BJ442" s="106"/>
      <c r="BK442" s="106"/>
      <c r="BL442" s="106"/>
      <c r="BM442" s="106"/>
      <c r="BN442" s="106"/>
      <c r="BO442" s="106"/>
      <c r="BP442" s="106"/>
      <c r="BQ442" s="106"/>
      <c r="BR442" s="106"/>
      <c r="BS442" s="106"/>
      <c r="BT442" s="106"/>
      <c r="BU442" s="106"/>
    </row>
    <row r="443" spans="15:73"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6"/>
      <c r="BA443" s="106"/>
      <c r="BB443" s="106"/>
      <c r="BC443" s="106"/>
      <c r="BD443" s="106"/>
      <c r="BE443" s="106"/>
      <c r="BF443" s="106"/>
      <c r="BG443" s="106"/>
      <c r="BH443" s="106"/>
      <c r="BI443" s="106"/>
      <c r="BJ443" s="106"/>
      <c r="BK443" s="106"/>
      <c r="BL443" s="106"/>
      <c r="BM443" s="106"/>
      <c r="BN443" s="106"/>
      <c r="BO443" s="106"/>
      <c r="BP443" s="106"/>
      <c r="BQ443" s="106"/>
      <c r="BR443" s="106"/>
      <c r="BS443" s="106"/>
      <c r="BT443" s="106"/>
      <c r="BU443" s="106"/>
    </row>
    <row r="444" spans="15:73"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106"/>
      <c r="AY444" s="106"/>
      <c r="AZ444" s="106"/>
      <c r="BA444" s="106"/>
      <c r="BB444" s="106"/>
      <c r="BC444" s="106"/>
      <c r="BD444" s="106"/>
      <c r="BE444" s="106"/>
      <c r="BF444" s="106"/>
      <c r="BG444" s="106"/>
      <c r="BH444" s="106"/>
      <c r="BI444" s="106"/>
      <c r="BJ444" s="106"/>
      <c r="BK444" s="106"/>
      <c r="BL444" s="106"/>
      <c r="BM444" s="106"/>
      <c r="BN444" s="106"/>
      <c r="BO444" s="106"/>
      <c r="BP444" s="106"/>
      <c r="BQ444" s="106"/>
      <c r="BR444" s="106"/>
      <c r="BS444" s="106"/>
      <c r="BT444" s="106"/>
      <c r="BU444" s="106"/>
    </row>
    <row r="445" spans="15:73"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  <c r="AU445" s="106"/>
      <c r="AV445" s="106"/>
      <c r="AW445" s="106"/>
      <c r="AX445" s="106"/>
      <c r="AY445" s="106"/>
      <c r="AZ445" s="106"/>
      <c r="BA445" s="106"/>
      <c r="BB445" s="106"/>
      <c r="BC445" s="106"/>
      <c r="BD445" s="106"/>
      <c r="BE445" s="106"/>
      <c r="BF445" s="106"/>
      <c r="BG445" s="106"/>
      <c r="BH445" s="106"/>
      <c r="BI445" s="106"/>
      <c r="BJ445" s="106"/>
      <c r="BK445" s="106"/>
      <c r="BL445" s="106"/>
      <c r="BM445" s="106"/>
      <c r="BN445" s="106"/>
      <c r="BO445" s="106"/>
      <c r="BP445" s="106"/>
      <c r="BQ445" s="106"/>
      <c r="BR445" s="106"/>
      <c r="BS445" s="106"/>
      <c r="BT445" s="106"/>
      <c r="BU445" s="106"/>
    </row>
    <row r="446" spans="15:73"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106"/>
      <c r="AR446" s="106"/>
      <c r="AS446" s="106"/>
      <c r="AT446" s="106"/>
      <c r="AU446" s="106"/>
      <c r="AV446" s="106"/>
      <c r="AW446" s="106"/>
      <c r="AX446" s="106"/>
      <c r="AY446" s="106"/>
      <c r="AZ446" s="106"/>
      <c r="BA446" s="106"/>
      <c r="BB446" s="106"/>
      <c r="BC446" s="106"/>
      <c r="BD446" s="106"/>
      <c r="BE446" s="106"/>
      <c r="BF446" s="106"/>
      <c r="BG446" s="106"/>
      <c r="BH446" s="106"/>
      <c r="BI446" s="106"/>
      <c r="BJ446" s="106"/>
      <c r="BK446" s="106"/>
      <c r="BL446" s="106"/>
      <c r="BM446" s="106"/>
      <c r="BN446" s="106"/>
      <c r="BO446" s="106"/>
      <c r="BP446" s="106"/>
      <c r="BQ446" s="106"/>
      <c r="BR446" s="106"/>
      <c r="BS446" s="106"/>
      <c r="BT446" s="106"/>
      <c r="BU446" s="106"/>
    </row>
    <row r="447" spans="15:73"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/>
      <c r="AQ447" s="106"/>
      <c r="AR447" s="106"/>
      <c r="AS447" s="106"/>
      <c r="AT447" s="106"/>
      <c r="AU447" s="106"/>
      <c r="AV447" s="106"/>
      <c r="AW447" s="106"/>
      <c r="AX447" s="106"/>
      <c r="AY447" s="106"/>
      <c r="AZ447" s="106"/>
      <c r="BA447" s="106"/>
      <c r="BB447" s="106"/>
      <c r="BC447" s="106"/>
      <c r="BD447" s="106"/>
      <c r="BE447" s="106"/>
      <c r="BF447" s="106"/>
      <c r="BG447" s="106"/>
      <c r="BH447" s="106"/>
      <c r="BI447" s="106"/>
      <c r="BJ447" s="106"/>
      <c r="BK447" s="106"/>
      <c r="BL447" s="106"/>
      <c r="BM447" s="106"/>
      <c r="BN447" s="106"/>
      <c r="BO447" s="106"/>
      <c r="BP447" s="106"/>
      <c r="BQ447" s="106"/>
      <c r="BR447" s="106"/>
      <c r="BS447" s="106"/>
      <c r="BT447" s="106"/>
      <c r="BU447" s="106"/>
    </row>
    <row r="448" spans="15:73"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6"/>
      <c r="AV448" s="106"/>
      <c r="AW448" s="106"/>
      <c r="AX448" s="106"/>
      <c r="AY448" s="106"/>
      <c r="AZ448" s="106"/>
      <c r="BA448" s="106"/>
      <c r="BB448" s="106"/>
      <c r="BC448" s="106"/>
      <c r="BD448" s="106"/>
      <c r="BE448" s="106"/>
      <c r="BF448" s="106"/>
      <c r="BG448" s="106"/>
      <c r="BH448" s="106"/>
      <c r="BI448" s="106"/>
      <c r="BJ448" s="106"/>
      <c r="BK448" s="106"/>
      <c r="BL448" s="106"/>
      <c r="BM448" s="106"/>
      <c r="BN448" s="106"/>
      <c r="BO448" s="106"/>
      <c r="BP448" s="106"/>
      <c r="BQ448" s="106"/>
      <c r="BR448" s="106"/>
      <c r="BS448" s="106"/>
      <c r="BT448" s="106"/>
      <c r="BU448" s="106"/>
    </row>
    <row r="449" spans="15:73"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6"/>
      <c r="AV449" s="106"/>
      <c r="AW449" s="106"/>
      <c r="AX449" s="106"/>
      <c r="AY449" s="106"/>
      <c r="AZ449" s="106"/>
      <c r="BA449" s="106"/>
      <c r="BB449" s="106"/>
      <c r="BC449" s="106"/>
      <c r="BD449" s="106"/>
      <c r="BE449" s="106"/>
      <c r="BF449" s="106"/>
      <c r="BG449" s="106"/>
      <c r="BH449" s="106"/>
      <c r="BI449" s="106"/>
      <c r="BJ449" s="106"/>
      <c r="BK449" s="106"/>
      <c r="BL449" s="106"/>
      <c r="BM449" s="106"/>
      <c r="BN449" s="106"/>
      <c r="BO449" s="106"/>
      <c r="BP449" s="106"/>
      <c r="BQ449" s="106"/>
      <c r="BR449" s="106"/>
      <c r="BS449" s="106"/>
      <c r="BT449" s="106"/>
      <c r="BU449" s="106"/>
    </row>
    <row r="450" spans="15:73"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  <c r="AU450" s="106"/>
      <c r="AV450" s="106"/>
      <c r="AW450" s="106"/>
      <c r="AX450" s="106"/>
      <c r="AY450" s="106"/>
      <c r="AZ450" s="106"/>
      <c r="BA450" s="106"/>
      <c r="BB450" s="106"/>
      <c r="BC450" s="106"/>
      <c r="BD450" s="106"/>
      <c r="BE450" s="106"/>
      <c r="BF450" s="106"/>
      <c r="BG450" s="106"/>
      <c r="BH450" s="106"/>
      <c r="BI450" s="106"/>
      <c r="BJ450" s="106"/>
      <c r="BK450" s="106"/>
      <c r="BL450" s="106"/>
      <c r="BM450" s="106"/>
      <c r="BN450" s="106"/>
      <c r="BO450" s="106"/>
      <c r="BP450" s="106"/>
      <c r="BQ450" s="106"/>
      <c r="BR450" s="106"/>
      <c r="BS450" s="106"/>
      <c r="BT450" s="106"/>
      <c r="BU450" s="106"/>
    </row>
    <row r="451" spans="15:73"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  <c r="AU451" s="106"/>
      <c r="AV451" s="106"/>
      <c r="AW451" s="106"/>
      <c r="AX451" s="106"/>
      <c r="AY451" s="106"/>
      <c r="AZ451" s="106"/>
      <c r="BA451" s="106"/>
      <c r="BB451" s="106"/>
      <c r="BC451" s="106"/>
      <c r="BD451" s="106"/>
      <c r="BE451" s="106"/>
      <c r="BF451" s="106"/>
      <c r="BG451" s="106"/>
      <c r="BH451" s="106"/>
      <c r="BI451" s="106"/>
      <c r="BJ451" s="106"/>
      <c r="BK451" s="106"/>
      <c r="BL451" s="106"/>
      <c r="BM451" s="106"/>
      <c r="BN451" s="106"/>
      <c r="BO451" s="106"/>
      <c r="BP451" s="106"/>
      <c r="BQ451" s="106"/>
      <c r="BR451" s="106"/>
      <c r="BS451" s="106"/>
      <c r="BT451" s="106"/>
      <c r="BU451" s="106"/>
    </row>
    <row r="452" spans="15:73"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  <c r="AU452" s="106"/>
      <c r="AV452" s="106"/>
      <c r="AW452" s="106"/>
      <c r="AX452" s="106"/>
      <c r="AY452" s="106"/>
      <c r="AZ452" s="106"/>
      <c r="BA452" s="106"/>
      <c r="BB452" s="106"/>
      <c r="BC452" s="106"/>
      <c r="BD452" s="106"/>
      <c r="BE452" s="106"/>
      <c r="BF452" s="106"/>
      <c r="BG452" s="106"/>
      <c r="BH452" s="106"/>
      <c r="BI452" s="106"/>
      <c r="BJ452" s="106"/>
      <c r="BK452" s="106"/>
      <c r="BL452" s="106"/>
      <c r="BM452" s="106"/>
      <c r="BN452" s="106"/>
      <c r="BO452" s="106"/>
      <c r="BP452" s="106"/>
      <c r="BQ452" s="106"/>
      <c r="BR452" s="106"/>
      <c r="BS452" s="106"/>
      <c r="BT452" s="106"/>
      <c r="BU452" s="106"/>
    </row>
    <row r="453" spans="15:73"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6"/>
      <c r="AV453" s="106"/>
      <c r="AW453" s="106"/>
      <c r="AX453" s="106"/>
      <c r="AY453" s="106"/>
      <c r="AZ453" s="106"/>
      <c r="BA453" s="106"/>
      <c r="BB453" s="106"/>
      <c r="BC453" s="106"/>
      <c r="BD453" s="106"/>
      <c r="BE453" s="106"/>
      <c r="BF453" s="106"/>
      <c r="BG453" s="106"/>
      <c r="BH453" s="106"/>
      <c r="BI453" s="106"/>
      <c r="BJ453" s="106"/>
      <c r="BK453" s="106"/>
      <c r="BL453" s="106"/>
      <c r="BM453" s="106"/>
      <c r="BN453" s="106"/>
      <c r="BO453" s="106"/>
      <c r="BP453" s="106"/>
      <c r="BQ453" s="106"/>
      <c r="BR453" s="106"/>
      <c r="BS453" s="106"/>
      <c r="BT453" s="106"/>
      <c r="BU453" s="106"/>
    </row>
    <row r="454" spans="15:73"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6"/>
      <c r="AV454" s="106"/>
      <c r="AW454" s="106"/>
      <c r="AX454" s="106"/>
      <c r="AY454" s="106"/>
      <c r="AZ454" s="106"/>
      <c r="BA454" s="106"/>
      <c r="BB454" s="106"/>
      <c r="BC454" s="106"/>
      <c r="BD454" s="106"/>
      <c r="BE454" s="106"/>
      <c r="BF454" s="106"/>
      <c r="BG454" s="106"/>
      <c r="BH454" s="106"/>
      <c r="BI454" s="106"/>
      <c r="BJ454" s="106"/>
      <c r="BK454" s="106"/>
      <c r="BL454" s="106"/>
      <c r="BM454" s="106"/>
      <c r="BN454" s="106"/>
      <c r="BO454" s="106"/>
      <c r="BP454" s="106"/>
      <c r="BQ454" s="106"/>
      <c r="BR454" s="106"/>
      <c r="BS454" s="106"/>
      <c r="BT454" s="106"/>
      <c r="BU454" s="106"/>
    </row>
    <row r="455" spans="15:73"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106"/>
      <c r="AR455" s="106"/>
      <c r="AS455" s="106"/>
      <c r="AT455" s="106"/>
      <c r="AU455" s="106"/>
      <c r="AV455" s="106"/>
      <c r="AW455" s="106"/>
      <c r="AX455" s="106"/>
      <c r="AY455" s="106"/>
      <c r="AZ455" s="106"/>
      <c r="BA455" s="106"/>
      <c r="BB455" s="106"/>
      <c r="BC455" s="106"/>
      <c r="BD455" s="106"/>
      <c r="BE455" s="106"/>
      <c r="BF455" s="106"/>
      <c r="BG455" s="106"/>
      <c r="BH455" s="106"/>
      <c r="BI455" s="106"/>
      <c r="BJ455" s="106"/>
      <c r="BK455" s="106"/>
      <c r="BL455" s="106"/>
      <c r="BM455" s="106"/>
      <c r="BN455" s="106"/>
      <c r="BO455" s="106"/>
      <c r="BP455" s="106"/>
      <c r="BQ455" s="106"/>
      <c r="BR455" s="106"/>
      <c r="BS455" s="106"/>
      <c r="BT455" s="106"/>
      <c r="BU455" s="106"/>
    </row>
    <row r="456" spans="15:73"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  <c r="AU456" s="106"/>
      <c r="AV456" s="106"/>
      <c r="AW456" s="106"/>
      <c r="AX456" s="106"/>
      <c r="AY456" s="106"/>
      <c r="AZ456" s="106"/>
      <c r="BA456" s="106"/>
      <c r="BB456" s="106"/>
      <c r="BC456" s="106"/>
      <c r="BD456" s="106"/>
      <c r="BE456" s="106"/>
      <c r="BF456" s="106"/>
      <c r="BG456" s="106"/>
      <c r="BH456" s="106"/>
      <c r="BI456" s="106"/>
      <c r="BJ456" s="106"/>
      <c r="BK456" s="106"/>
      <c r="BL456" s="106"/>
      <c r="BM456" s="106"/>
      <c r="BN456" s="106"/>
      <c r="BO456" s="106"/>
      <c r="BP456" s="106"/>
      <c r="BQ456" s="106"/>
      <c r="BR456" s="106"/>
      <c r="BS456" s="106"/>
      <c r="BT456" s="106"/>
      <c r="BU456" s="106"/>
    </row>
    <row r="457" spans="15:73"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  <c r="AU457" s="106"/>
      <c r="AV457" s="106"/>
      <c r="AW457" s="106"/>
      <c r="AX457" s="106"/>
      <c r="AY457" s="106"/>
      <c r="AZ457" s="106"/>
      <c r="BA457" s="106"/>
      <c r="BB457" s="106"/>
      <c r="BC457" s="106"/>
      <c r="BD457" s="106"/>
      <c r="BE457" s="106"/>
      <c r="BF457" s="106"/>
      <c r="BG457" s="106"/>
      <c r="BH457" s="106"/>
      <c r="BI457" s="106"/>
      <c r="BJ457" s="106"/>
      <c r="BK457" s="106"/>
      <c r="BL457" s="106"/>
      <c r="BM457" s="106"/>
      <c r="BN457" s="106"/>
      <c r="BO457" s="106"/>
      <c r="BP457" s="106"/>
      <c r="BQ457" s="106"/>
      <c r="BR457" s="106"/>
      <c r="BS457" s="106"/>
      <c r="BT457" s="106"/>
      <c r="BU457" s="106"/>
    </row>
    <row r="458" spans="15:73"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6"/>
      <c r="AV458" s="106"/>
      <c r="AW458" s="106"/>
      <c r="AX458" s="106"/>
      <c r="AY458" s="106"/>
      <c r="AZ458" s="106"/>
      <c r="BA458" s="106"/>
      <c r="BB458" s="106"/>
      <c r="BC458" s="106"/>
      <c r="BD458" s="106"/>
      <c r="BE458" s="106"/>
      <c r="BF458" s="106"/>
      <c r="BG458" s="106"/>
      <c r="BH458" s="106"/>
      <c r="BI458" s="106"/>
      <c r="BJ458" s="106"/>
      <c r="BK458" s="106"/>
      <c r="BL458" s="106"/>
      <c r="BM458" s="106"/>
      <c r="BN458" s="106"/>
      <c r="BO458" s="106"/>
      <c r="BP458" s="106"/>
      <c r="BQ458" s="106"/>
      <c r="BR458" s="106"/>
      <c r="BS458" s="106"/>
      <c r="BT458" s="106"/>
      <c r="BU458" s="106"/>
    </row>
    <row r="459" spans="15:73"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106"/>
      <c r="AR459" s="106"/>
      <c r="AS459" s="106"/>
      <c r="AT459" s="106"/>
      <c r="AU459" s="106"/>
      <c r="AV459" s="106"/>
      <c r="AW459" s="106"/>
      <c r="AX459" s="106"/>
      <c r="AY459" s="106"/>
      <c r="AZ459" s="106"/>
      <c r="BA459" s="106"/>
      <c r="BB459" s="106"/>
      <c r="BC459" s="106"/>
      <c r="BD459" s="106"/>
      <c r="BE459" s="106"/>
      <c r="BF459" s="106"/>
      <c r="BG459" s="106"/>
      <c r="BH459" s="106"/>
      <c r="BI459" s="106"/>
      <c r="BJ459" s="106"/>
      <c r="BK459" s="106"/>
      <c r="BL459" s="106"/>
      <c r="BM459" s="106"/>
      <c r="BN459" s="106"/>
      <c r="BO459" s="106"/>
      <c r="BP459" s="106"/>
      <c r="BQ459" s="106"/>
      <c r="BR459" s="106"/>
      <c r="BS459" s="106"/>
      <c r="BT459" s="106"/>
      <c r="BU459" s="106"/>
    </row>
    <row r="460" spans="15:73"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  <c r="AU460" s="106"/>
      <c r="AV460" s="106"/>
      <c r="AW460" s="106"/>
      <c r="AX460" s="106"/>
      <c r="AY460" s="106"/>
      <c r="AZ460" s="106"/>
      <c r="BA460" s="106"/>
      <c r="BB460" s="106"/>
      <c r="BC460" s="106"/>
      <c r="BD460" s="106"/>
      <c r="BE460" s="106"/>
      <c r="BF460" s="106"/>
      <c r="BG460" s="106"/>
      <c r="BH460" s="106"/>
      <c r="BI460" s="106"/>
      <c r="BJ460" s="106"/>
      <c r="BK460" s="106"/>
      <c r="BL460" s="106"/>
      <c r="BM460" s="106"/>
      <c r="BN460" s="106"/>
      <c r="BO460" s="106"/>
      <c r="BP460" s="106"/>
      <c r="BQ460" s="106"/>
      <c r="BR460" s="106"/>
      <c r="BS460" s="106"/>
      <c r="BT460" s="106"/>
      <c r="BU460" s="106"/>
    </row>
    <row r="461" spans="15:73"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/>
      <c r="AQ461" s="106"/>
      <c r="AR461" s="106"/>
      <c r="AS461" s="106"/>
      <c r="AT461" s="106"/>
      <c r="AU461" s="106"/>
      <c r="AV461" s="106"/>
      <c r="AW461" s="106"/>
      <c r="AX461" s="106"/>
      <c r="AY461" s="106"/>
      <c r="AZ461" s="106"/>
      <c r="BA461" s="106"/>
      <c r="BB461" s="106"/>
      <c r="BC461" s="106"/>
      <c r="BD461" s="106"/>
      <c r="BE461" s="106"/>
      <c r="BF461" s="106"/>
      <c r="BG461" s="106"/>
      <c r="BH461" s="106"/>
      <c r="BI461" s="106"/>
      <c r="BJ461" s="106"/>
      <c r="BK461" s="106"/>
      <c r="BL461" s="106"/>
      <c r="BM461" s="106"/>
      <c r="BN461" s="106"/>
      <c r="BO461" s="106"/>
      <c r="BP461" s="106"/>
      <c r="BQ461" s="106"/>
      <c r="BR461" s="106"/>
      <c r="BS461" s="106"/>
      <c r="BT461" s="106"/>
      <c r="BU461" s="106"/>
    </row>
    <row r="462" spans="15:73"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  <c r="AU462" s="106"/>
      <c r="AV462" s="106"/>
      <c r="AW462" s="106"/>
      <c r="AX462" s="106"/>
      <c r="AY462" s="106"/>
      <c r="AZ462" s="106"/>
      <c r="BA462" s="106"/>
      <c r="BB462" s="106"/>
      <c r="BC462" s="106"/>
      <c r="BD462" s="106"/>
      <c r="BE462" s="106"/>
      <c r="BF462" s="106"/>
      <c r="BG462" s="106"/>
      <c r="BH462" s="106"/>
      <c r="BI462" s="106"/>
      <c r="BJ462" s="106"/>
      <c r="BK462" s="106"/>
      <c r="BL462" s="106"/>
      <c r="BM462" s="106"/>
      <c r="BN462" s="106"/>
      <c r="BO462" s="106"/>
      <c r="BP462" s="106"/>
      <c r="BQ462" s="106"/>
      <c r="BR462" s="106"/>
      <c r="BS462" s="106"/>
      <c r="BT462" s="106"/>
      <c r="BU462" s="106"/>
    </row>
    <row r="463" spans="15:73"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106"/>
      <c r="AR463" s="106"/>
      <c r="AS463" s="106"/>
      <c r="AT463" s="106"/>
      <c r="AU463" s="106"/>
      <c r="AV463" s="106"/>
      <c r="AW463" s="106"/>
      <c r="AX463" s="106"/>
      <c r="AY463" s="106"/>
      <c r="AZ463" s="106"/>
      <c r="BA463" s="106"/>
      <c r="BB463" s="106"/>
      <c r="BC463" s="106"/>
      <c r="BD463" s="106"/>
      <c r="BE463" s="106"/>
      <c r="BF463" s="106"/>
      <c r="BG463" s="106"/>
      <c r="BH463" s="106"/>
      <c r="BI463" s="106"/>
      <c r="BJ463" s="106"/>
      <c r="BK463" s="106"/>
      <c r="BL463" s="106"/>
      <c r="BM463" s="106"/>
      <c r="BN463" s="106"/>
      <c r="BO463" s="106"/>
      <c r="BP463" s="106"/>
      <c r="BQ463" s="106"/>
      <c r="BR463" s="106"/>
      <c r="BS463" s="106"/>
      <c r="BT463" s="106"/>
      <c r="BU463" s="106"/>
    </row>
    <row r="464" spans="15:73"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106"/>
      <c r="AR464" s="106"/>
      <c r="AS464" s="106"/>
      <c r="AT464" s="106"/>
      <c r="AU464" s="106"/>
      <c r="AV464" s="106"/>
      <c r="AW464" s="106"/>
      <c r="AX464" s="106"/>
      <c r="AY464" s="106"/>
      <c r="AZ464" s="106"/>
      <c r="BA464" s="106"/>
      <c r="BB464" s="106"/>
      <c r="BC464" s="106"/>
      <c r="BD464" s="106"/>
      <c r="BE464" s="106"/>
      <c r="BF464" s="106"/>
      <c r="BG464" s="106"/>
      <c r="BH464" s="106"/>
      <c r="BI464" s="106"/>
      <c r="BJ464" s="106"/>
      <c r="BK464" s="106"/>
      <c r="BL464" s="106"/>
      <c r="BM464" s="106"/>
      <c r="BN464" s="106"/>
      <c r="BO464" s="106"/>
      <c r="BP464" s="106"/>
      <c r="BQ464" s="106"/>
      <c r="BR464" s="106"/>
      <c r="BS464" s="106"/>
      <c r="BT464" s="106"/>
      <c r="BU464" s="106"/>
    </row>
    <row r="465" spans="15:73"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  <c r="AU465" s="106"/>
      <c r="AV465" s="106"/>
      <c r="AW465" s="106"/>
      <c r="AX465" s="106"/>
      <c r="AY465" s="106"/>
      <c r="AZ465" s="106"/>
      <c r="BA465" s="106"/>
      <c r="BB465" s="106"/>
      <c r="BC465" s="106"/>
      <c r="BD465" s="106"/>
      <c r="BE465" s="106"/>
      <c r="BF465" s="106"/>
      <c r="BG465" s="106"/>
      <c r="BH465" s="106"/>
      <c r="BI465" s="106"/>
      <c r="BJ465" s="106"/>
      <c r="BK465" s="106"/>
      <c r="BL465" s="106"/>
      <c r="BM465" s="106"/>
      <c r="BN465" s="106"/>
      <c r="BO465" s="106"/>
      <c r="BP465" s="106"/>
      <c r="BQ465" s="106"/>
      <c r="BR465" s="106"/>
      <c r="BS465" s="106"/>
      <c r="BT465" s="106"/>
      <c r="BU465" s="106"/>
    </row>
    <row r="466" spans="15:73"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106"/>
      <c r="AR466" s="106"/>
      <c r="AS466" s="106"/>
      <c r="AT466" s="106"/>
      <c r="AU466" s="106"/>
      <c r="AV466" s="106"/>
      <c r="AW466" s="106"/>
      <c r="AX466" s="106"/>
      <c r="AY466" s="106"/>
      <c r="AZ466" s="106"/>
      <c r="BA466" s="106"/>
      <c r="BB466" s="106"/>
      <c r="BC466" s="106"/>
      <c r="BD466" s="106"/>
      <c r="BE466" s="106"/>
      <c r="BF466" s="106"/>
      <c r="BG466" s="106"/>
      <c r="BH466" s="106"/>
      <c r="BI466" s="106"/>
      <c r="BJ466" s="106"/>
      <c r="BK466" s="106"/>
      <c r="BL466" s="106"/>
      <c r="BM466" s="106"/>
      <c r="BN466" s="106"/>
      <c r="BO466" s="106"/>
      <c r="BP466" s="106"/>
      <c r="BQ466" s="106"/>
      <c r="BR466" s="106"/>
      <c r="BS466" s="106"/>
      <c r="BT466" s="106"/>
      <c r="BU466" s="106"/>
    </row>
    <row r="467" spans="15:73"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  <c r="AU467" s="106"/>
      <c r="AV467" s="106"/>
      <c r="AW467" s="106"/>
      <c r="AX467" s="106"/>
      <c r="AY467" s="106"/>
      <c r="AZ467" s="106"/>
      <c r="BA467" s="106"/>
      <c r="BB467" s="106"/>
      <c r="BC467" s="106"/>
      <c r="BD467" s="106"/>
      <c r="BE467" s="106"/>
      <c r="BF467" s="106"/>
      <c r="BG467" s="106"/>
      <c r="BH467" s="106"/>
      <c r="BI467" s="106"/>
      <c r="BJ467" s="106"/>
      <c r="BK467" s="106"/>
      <c r="BL467" s="106"/>
      <c r="BM467" s="106"/>
      <c r="BN467" s="106"/>
      <c r="BO467" s="106"/>
      <c r="BP467" s="106"/>
      <c r="BQ467" s="106"/>
      <c r="BR467" s="106"/>
      <c r="BS467" s="106"/>
      <c r="BT467" s="106"/>
      <c r="BU467" s="106"/>
    </row>
    <row r="468" spans="15:73"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6"/>
      <c r="AV468" s="106"/>
      <c r="AW468" s="106"/>
      <c r="AX468" s="106"/>
      <c r="AY468" s="106"/>
      <c r="AZ468" s="106"/>
      <c r="BA468" s="106"/>
      <c r="BB468" s="106"/>
      <c r="BC468" s="106"/>
      <c r="BD468" s="106"/>
      <c r="BE468" s="106"/>
      <c r="BF468" s="106"/>
      <c r="BG468" s="106"/>
      <c r="BH468" s="106"/>
      <c r="BI468" s="106"/>
      <c r="BJ468" s="106"/>
      <c r="BK468" s="106"/>
      <c r="BL468" s="106"/>
      <c r="BM468" s="106"/>
      <c r="BN468" s="106"/>
      <c r="BO468" s="106"/>
      <c r="BP468" s="106"/>
      <c r="BQ468" s="106"/>
      <c r="BR468" s="106"/>
      <c r="BS468" s="106"/>
      <c r="BT468" s="106"/>
      <c r="BU468" s="106"/>
    </row>
    <row r="469" spans="15:73"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  <c r="AU469" s="106"/>
      <c r="AV469" s="106"/>
      <c r="AW469" s="106"/>
      <c r="AX469" s="106"/>
      <c r="AY469" s="106"/>
      <c r="AZ469" s="106"/>
      <c r="BA469" s="106"/>
      <c r="BB469" s="106"/>
      <c r="BC469" s="106"/>
      <c r="BD469" s="106"/>
      <c r="BE469" s="106"/>
      <c r="BF469" s="106"/>
      <c r="BG469" s="106"/>
      <c r="BH469" s="106"/>
      <c r="BI469" s="106"/>
      <c r="BJ469" s="106"/>
      <c r="BK469" s="106"/>
      <c r="BL469" s="106"/>
      <c r="BM469" s="106"/>
      <c r="BN469" s="106"/>
      <c r="BO469" s="106"/>
      <c r="BP469" s="106"/>
      <c r="BQ469" s="106"/>
      <c r="BR469" s="106"/>
      <c r="BS469" s="106"/>
      <c r="BT469" s="106"/>
      <c r="BU469" s="106"/>
    </row>
    <row r="470" spans="15:73"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  <c r="AU470" s="106"/>
      <c r="AV470" s="106"/>
      <c r="AW470" s="106"/>
      <c r="AX470" s="106"/>
      <c r="AY470" s="106"/>
      <c r="AZ470" s="106"/>
      <c r="BA470" s="106"/>
      <c r="BB470" s="106"/>
      <c r="BC470" s="106"/>
      <c r="BD470" s="106"/>
      <c r="BE470" s="106"/>
      <c r="BF470" s="106"/>
      <c r="BG470" s="106"/>
      <c r="BH470" s="106"/>
      <c r="BI470" s="106"/>
      <c r="BJ470" s="106"/>
      <c r="BK470" s="106"/>
      <c r="BL470" s="106"/>
      <c r="BM470" s="106"/>
      <c r="BN470" s="106"/>
      <c r="BO470" s="106"/>
      <c r="BP470" s="106"/>
      <c r="BQ470" s="106"/>
      <c r="BR470" s="106"/>
      <c r="BS470" s="106"/>
      <c r="BT470" s="106"/>
      <c r="BU470" s="106"/>
    </row>
    <row r="471" spans="15:73"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6"/>
      <c r="AV471" s="106"/>
      <c r="AW471" s="106"/>
      <c r="AX471" s="106"/>
      <c r="AY471" s="106"/>
      <c r="AZ471" s="106"/>
      <c r="BA471" s="106"/>
      <c r="BB471" s="106"/>
      <c r="BC471" s="106"/>
      <c r="BD471" s="106"/>
      <c r="BE471" s="106"/>
      <c r="BF471" s="106"/>
      <c r="BG471" s="106"/>
      <c r="BH471" s="106"/>
      <c r="BI471" s="106"/>
      <c r="BJ471" s="106"/>
      <c r="BK471" s="106"/>
      <c r="BL471" s="106"/>
      <c r="BM471" s="106"/>
      <c r="BN471" s="106"/>
      <c r="BO471" s="106"/>
      <c r="BP471" s="106"/>
      <c r="BQ471" s="106"/>
      <c r="BR471" s="106"/>
      <c r="BS471" s="106"/>
      <c r="BT471" s="106"/>
      <c r="BU471" s="106"/>
    </row>
    <row r="472" spans="15:73"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6"/>
      <c r="BA472" s="106"/>
      <c r="BB472" s="106"/>
      <c r="BC472" s="106"/>
      <c r="BD472" s="106"/>
      <c r="BE472" s="106"/>
      <c r="BF472" s="106"/>
      <c r="BG472" s="106"/>
      <c r="BH472" s="106"/>
      <c r="BI472" s="106"/>
      <c r="BJ472" s="106"/>
      <c r="BK472" s="106"/>
      <c r="BL472" s="106"/>
      <c r="BM472" s="106"/>
      <c r="BN472" s="106"/>
      <c r="BO472" s="106"/>
      <c r="BP472" s="106"/>
      <c r="BQ472" s="106"/>
      <c r="BR472" s="106"/>
      <c r="BS472" s="106"/>
      <c r="BT472" s="106"/>
      <c r="BU472" s="106"/>
    </row>
    <row r="473" spans="15:73"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6"/>
      <c r="BA473" s="106"/>
      <c r="BB473" s="106"/>
      <c r="BC473" s="106"/>
      <c r="BD473" s="106"/>
      <c r="BE473" s="106"/>
      <c r="BF473" s="106"/>
      <c r="BG473" s="106"/>
      <c r="BH473" s="106"/>
      <c r="BI473" s="106"/>
      <c r="BJ473" s="106"/>
      <c r="BK473" s="106"/>
      <c r="BL473" s="106"/>
      <c r="BM473" s="106"/>
      <c r="BN473" s="106"/>
      <c r="BO473" s="106"/>
      <c r="BP473" s="106"/>
      <c r="BQ473" s="106"/>
      <c r="BR473" s="106"/>
      <c r="BS473" s="106"/>
      <c r="BT473" s="106"/>
      <c r="BU473" s="106"/>
    </row>
    <row r="474" spans="15:73"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6"/>
      <c r="AV474" s="106"/>
      <c r="AW474" s="106"/>
      <c r="AX474" s="106"/>
      <c r="AY474" s="106"/>
      <c r="AZ474" s="106"/>
      <c r="BA474" s="106"/>
      <c r="BB474" s="106"/>
      <c r="BC474" s="106"/>
      <c r="BD474" s="106"/>
      <c r="BE474" s="106"/>
      <c r="BF474" s="106"/>
      <c r="BG474" s="106"/>
      <c r="BH474" s="106"/>
      <c r="BI474" s="106"/>
      <c r="BJ474" s="106"/>
      <c r="BK474" s="106"/>
      <c r="BL474" s="106"/>
      <c r="BM474" s="106"/>
      <c r="BN474" s="106"/>
      <c r="BO474" s="106"/>
      <c r="BP474" s="106"/>
      <c r="BQ474" s="106"/>
      <c r="BR474" s="106"/>
      <c r="BS474" s="106"/>
      <c r="BT474" s="106"/>
      <c r="BU474" s="106"/>
    </row>
    <row r="475" spans="15:73"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6"/>
      <c r="BB475" s="106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O475" s="106"/>
      <c r="BP475" s="106"/>
      <c r="BQ475" s="106"/>
      <c r="BR475" s="106"/>
      <c r="BS475" s="106"/>
      <c r="BT475" s="106"/>
      <c r="BU475" s="106"/>
    </row>
    <row r="476" spans="15:73"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6"/>
      <c r="BB476" s="106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O476" s="106"/>
      <c r="BP476" s="106"/>
      <c r="BQ476" s="106"/>
      <c r="BR476" s="106"/>
      <c r="BS476" s="106"/>
      <c r="BT476" s="106"/>
      <c r="BU476" s="106"/>
    </row>
    <row r="477" spans="15:73"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  <c r="AZ477" s="106"/>
      <c r="BA477" s="106"/>
      <c r="BB477" s="106"/>
      <c r="BC477" s="106"/>
      <c r="BD477" s="106"/>
      <c r="BE477" s="106"/>
      <c r="BF477" s="106"/>
      <c r="BG477" s="106"/>
      <c r="BH477" s="106"/>
      <c r="BI477" s="106"/>
      <c r="BJ477" s="106"/>
      <c r="BK477" s="106"/>
      <c r="BL477" s="106"/>
      <c r="BM477" s="106"/>
      <c r="BN477" s="106"/>
      <c r="BO477" s="106"/>
      <c r="BP477" s="106"/>
      <c r="BQ477" s="106"/>
      <c r="BR477" s="106"/>
      <c r="BS477" s="106"/>
      <c r="BT477" s="106"/>
      <c r="BU477" s="106"/>
    </row>
    <row r="478" spans="15:73"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6"/>
      <c r="BB478" s="106"/>
      <c r="BC478" s="106"/>
      <c r="BD478" s="106"/>
      <c r="BE478" s="106"/>
      <c r="BF478" s="106"/>
      <c r="BG478" s="106"/>
      <c r="BH478" s="106"/>
      <c r="BI478" s="106"/>
      <c r="BJ478" s="106"/>
      <c r="BK478" s="106"/>
      <c r="BL478" s="106"/>
      <c r="BM478" s="106"/>
      <c r="BN478" s="106"/>
      <c r="BO478" s="106"/>
      <c r="BP478" s="106"/>
      <c r="BQ478" s="106"/>
      <c r="BR478" s="106"/>
      <c r="BS478" s="106"/>
      <c r="BT478" s="106"/>
      <c r="BU478" s="106"/>
    </row>
    <row r="479" spans="15:73"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</row>
    <row r="480" spans="15:73"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</row>
    <row r="481" spans="15:73"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</row>
    <row r="482" spans="15:73"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</row>
    <row r="483" spans="15:73"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</row>
    <row r="484" spans="15:73"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</row>
    <row r="485" spans="15:73"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</row>
    <row r="486" spans="15:73"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  <c r="BB486" s="106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O486" s="106"/>
      <c r="BP486" s="106"/>
      <c r="BQ486" s="106"/>
      <c r="BR486" s="106"/>
      <c r="BS486" s="106"/>
      <c r="BT486" s="106"/>
      <c r="BU486" s="106"/>
    </row>
    <row r="487" spans="15:73"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  <c r="AZ487" s="106"/>
      <c r="BA487" s="106"/>
      <c r="BB487" s="106"/>
      <c r="BC487" s="106"/>
      <c r="BD487" s="106"/>
      <c r="BE487" s="106"/>
      <c r="BF487" s="106"/>
      <c r="BG487" s="106"/>
      <c r="BH487" s="106"/>
      <c r="BI487" s="106"/>
      <c r="BJ487" s="106"/>
      <c r="BK487" s="106"/>
      <c r="BL487" s="106"/>
      <c r="BM487" s="106"/>
      <c r="BN487" s="106"/>
      <c r="BO487" s="106"/>
      <c r="BP487" s="106"/>
      <c r="BQ487" s="106"/>
      <c r="BR487" s="106"/>
      <c r="BS487" s="106"/>
      <c r="BT487" s="106"/>
      <c r="BU487" s="106"/>
    </row>
    <row r="488" spans="15:73"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</row>
    <row r="489" spans="15:73"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</row>
    <row r="490" spans="15:73"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</row>
    <row r="491" spans="15:73"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</row>
    <row r="492" spans="15:73"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</row>
    <row r="493" spans="15:73"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  <c r="AZ493" s="106"/>
      <c r="BA493" s="106"/>
      <c r="BB493" s="106"/>
      <c r="BC493" s="106"/>
      <c r="BD493" s="106"/>
      <c r="BE493" s="106"/>
      <c r="BF493" s="106"/>
      <c r="BG493" s="106"/>
      <c r="BH493" s="106"/>
      <c r="BI493" s="106"/>
      <c r="BJ493" s="106"/>
      <c r="BK493" s="106"/>
      <c r="BL493" s="106"/>
      <c r="BM493" s="106"/>
      <c r="BN493" s="106"/>
      <c r="BO493" s="106"/>
      <c r="BP493" s="106"/>
      <c r="BQ493" s="106"/>
      <c r="BR493" s="106"/>
      <c r="BS493" s="106"/>
      <c r="BT493" s="106"/>
      <c r="BU493" s="106"/>
    </row>
    <row r="494" spans="15:73"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</row>
    <row r="495" spans="15:73"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106"/>
      <c r="AZ495" s="106"/>
      <c r="BA495" s="106"/>
      <c r="BB495" s="106"/>
      <c r="BC495" s="106"/>
      <c r="BD495" s="106"/>
      <c r="BE495" s="106"/>
      <c r="BF495" s="106"/>
      <c r="BG495" s="106"/>
      <c r="BH495" s="106"/>
      <c r="BI495" s="106"/>
      <c r="BJ495" s="106"/>
      <c r="BK495" s="106"/>
      <c r="BL495" s="106"/>
      <c r="BM495" s="106"/>
      <c r="BN495" s="106"/>
      <c r="BO495" s="106"/>
      <c r="BP495" s="106"/>
      <c r="BQ495" s="106"/>
      <c r="BR495" s="106"/>
      <c r="BS495" s="106"/>
      <c r="BT495" s="106"/>
      <c r="BU495" s="106"/>
    </row>
    <row r="496" spans="15:73"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</row>
    <row r="497" spans="15:73"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  <c r="AZ497" s="106"/>
      <c r="BA497" s="106"/>
      <c r="BB497" s="106"/>
      <c r="BC497" s="106"/>
      <c r="BD497" s="106"/>
      <c r="BE497" s="106"/>
      <c r="BF497" s="106"/>
      <c r="BG497" s="106"/>
      <c r="BH497" s="106"/>
      <c r="BI497" s="106"/>
      <c r="BJ497" s="106"/>
      <c r="BK497" s="106"/>
      <c r="BL497" s="106"/>
      <c r="BM497" s="106"/>
      <c r="BN497" s="106"/>
      <c r="BO497" s="106"/>
      <c r="BP497" s="106"/>
      <c r="BQ497" s="106"/>
      <c r="BR497" s="106"/>
      <c r="BS497" s="106"/>
      <c r="BT497" s="106"/>
      <c r="BU497" s="106"/>
    </row>
    <row r="498" spans="15:73"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</row>
    <row r="499" spans="15:73"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</row>
    <row r="500" spans="15:73"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</row>
    <row r="501" spans="15:73"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</row>
    <row r="502" spans="15:73"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  <c r="AZ502" s="106"/>
      <c r="BA502" s="106"/>
      <c r="BB502" s="106"/>
      <c r="BC502" s="106"/>
      <c r="BD502" s="106"/>
      <c r="BE502" s="106"/>
      <c r="BF502" s="106"/>
      <c r="BG502" s="106"/>
      <c r="BH502" s="106"/>
      <c r="BI502" s="106"/>
      <c r="BJ502" s="106"/>
      <c r="BK502" s="106"/>
      <c r="BL502" s="106"/>
      <c r="BM502" s="106"/>
      <c r="BN502" s="106"/>
      <c r="BO502" s="106"/>
      <c r="BP502" s="106"/>
      <c r="BQ502" s="106"/>
      <c r="BR502" s="106"/>
      <c r="BS502" s="106"/>
      <c r="BT502" s="106"/>
      <c r="BU502" s="106"/>
    </row>
    <row r="503" spans="15:73"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  <c r="AZ503" s="106"/>
      <c r="BA503" s="106"/>
      <c r="BB503" s="106"/>
      <c r="BC503" s="106"/>
      <c r="BD503" s="106"/>
      <c r="BE503" s="106"/>
      <c r="BF503" s="106"/>
      <c r="BG503" s="106"/>
      <c r="BH503" s="106"/>
      <c r="BI503" s="106"/>
      <c r="BJ503" s="106"/>
      <c r="BK503" s="106"/>
      <c r="BL503" s="106"/>
      <c r="BM503" s="106"/>
      <c r="BN503" s="106"/>
      <c r="BO503" s="106"/>
      <c r="BP503" s="106"/>
      <c r="BQ503" s="106"/>
      <c r="BR503" s="106"/>
      <c r="BS503" s="106"/>
      <c r="BT503" s="106"/>
      <c r="BU503" s="106"/>
    </row>
    <row r="504" spans="15:73"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  <c r="AZ504" s="106"/>
      <c r="BA504" s="106"/>
      <c r="BB504" s="106"/>
      <c r="BC504" s="106"/>
      <c r="BD504" s="106"/>
      <c r="BE504" s="106"/>
      <c r="BF504" s="106"/>
      <c r="BG504" s="106"/>
      <c r="BH504" s="106"/>
      <c r="BI504" s="106"/>
      <c r="BJ504" s="106"/>
      <c r="BK504" s="106"/>
      <c r="BL504" s="106"/>
      <c r="BM504" s="106"/>
      <c r="BN504" s="106"/>
      <c r="BO504" s="106"/>
      <c r="BP504" s="106"/>
      <c r="BQ504" s="106"/>
      <c r="BR504" s="106"/>
      <c r="BS504" s="106"/>
      <c r="BT504" s="106"/>
      <c r="BU504" s="106"/>
    </row>
    <row r="505" spans="15:73"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  <c r="AZ505" s="106"/>
      <c r="BA505" s="106"/>
      <c r="BB505" s="106"/>
      <c r="BC505" s="106"/>
      <c r="BD505" s="106"/>
      <c r="BE505" s="106"/>
      <c r="BF505" s="106"/>
      <c r="BG505" s="106"/>
      <c r="BH505" s="106"/>
      <c r="BI505" s="106"/>
      <c r="BJ505" s="106"/>
      <c r="BK505" s="106"/>
      <c r="BL505" s="106"/>
      <c r="BM505" s="106"/>
      <c r="BN505" s="106"/>
      <c r="BO505" s="106"/>
      <c r="BP505" s="106"/>
      <c r="BQ505" s="106"/>
      <c r="BR505" s="106"/>
      <c r="BS505" s="106"/>
      <c r="BT505" s="106"/>
      <c r="BU505" s="106"/>
    </row>
    <row r="506" spans="15:73"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6"/>
      <c r="AX506" s="106"/>
      <c r="AY506" s="106"/>
      <c r="AZ506" s="106"/>
      <c r="BA506" s="106"/>
      <c r="BB506" s="106"/>
      <c r="BC506" s="106"/>
      <c r="BD506" s="106"/>
      <c r="BE506" s="106"/>
      <c r="BF506" s="106"/>
      <c r="BG506" s="106"/>
      <c r="BH506" s="106"/>
      <c r="BI506" s="106"/>
      <c r="BJ506" s="106"/>
      <c r="BK506" s="106"/>
      <c r="BL506" s="106"/>
      <c r="BM506" s="106"/>
      <c r="BN506" s="106"/>
      <c r="BO506" s="106"/>
      <c r="BP506" s="106"/>
      <c r="BQ506" s="106"/>
      <c r="BR506" s="106"/>
      <c r="BS506" s="106"/>
      <c r="BT506" s="106"/>
      <c r="BU506" s="106"/>
    </row>
    <row r="507" spans="15:73"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106"/>
      <c r="AR507" s="106"/>
      <c r="AS507" s="106"/>
      <c r="AT507" s="106"/>
      <c r="AU507" s="106"/>
      <c r="AV507" s="106"/>
      <c r="AW507" s="106"/>
      <c r="AX507" s="106"/>
      <c r="AY507" s="106"/>
      <c r="AZ507" s="106"/>
      <c r="BA507" s="106"/>
      <c r="BB507" s="106"/>
      <c r="BC507" s="106"/>
      <c r="BD507" s="106"/>
      <c r="BE507" s="106"/>
      <c r="BF507" s="106"/>
      <c r="BG507" s="106"/>
      <c r="BH507" s="106"/>
      <c r="BI507" s="106"/>
      <c r="BJ507" s="106"/>
      <c r="BK507" s="106"/>
      <c r="BL507" s="106"/>
      <c r="BM507" s="106"/>
      <c r="BN507" s="106"/>
      <c r="BO507" s="106"/>
      <c r="BP507" s="106"/>
      <c r="BQ507" s="106"/>
      <c r="BR507" s="106"/>
      <c r="BS507" s="106"/>
      <c r="BT507" s="106"/>
      <c r="BU507" s="106"/>
    </row>
    <row r="508" spans="15:73"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6"/>
      <c r="AV508" s="106"/>
      <c r="AW508" s="106"/>
      <c r="AX508" s="106"/>
      <c r="AY508" s="106"/>
      <c r="AZ508" s="106"/>
      <c r="BA508" s="106"/>
      <c r="BB508" s="106"/>
      <c r="BC508" s="106"/>
      <c r="BD508" s="106"/>
      <c r="BE508" s="106"/>
      <c r="BF508" s="106"/>
      <c r="BG508" s="106"/>
      <c r="BH508" s="106"/>
      <c r="BI508" s="106"/>
      <c r="BJ508" s="106"/>
      <c r="BK508" s="106"/>
      <c r="BL508" s="106"/>
      <c r="BM508" s="106"/>
      <c r="BN508" s="106"/>
      <c r="BO508" s="106"/>
      <c r="BP508" s="106"/>
      <c r="BQ508" s="106"/>
      <c r="BR508" s="106"/>
      <c r="BS508" s="106"/>
      <c r="BT508" s="106"/>
      <c r="BU508" s="106"/>
    </row>
    <row r="509" spans="15:73"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6"/>
      <c r="AX509" s="106"/>
      <c r="AY509" s="106"/>
      <c r="AZ509" s="106"/>
      <c r="BA509" s="106"/>
      <c r="BB509" s="106"/>
      <c r="BC509" s="106"/>
      <c r="BD509" s="106"/>
      <c r="BE509" s="106"/>
      <c r="BF509" s="106"/>
      <c r="BG509" s="106"/>
      <c r="BH509" s="106"/>
      <c r="BI509" s="106"/>
      <c r="BJ509" s="106"/>
      <c r="BK509" s="106"/>
      <c r="BL509" s="106"/>
      <c r="BM509" s="106"/>
      <c r="BN509" s="106"/>
      <c r="BO509" s="106"/>
      <c r="BP509" s="106"/>
      <c r="BQ509" s="106"/>
      <c r="BR509" s="106"/>
      <c r="BS509" s="106"/>
      <c r="BT509" s="106"/>
      <c r="BU509" s="106"/>
    </row>
    <row r="510" spans="15:73"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  <c r="AZ510" s="106"/>
      <c r="BA510" s="106"/>
      <c r="BB510" s="106"/>
      <c r="BC510" s="106"/>
      <c r="BD510" s="106"/>
      <c r="BE510" s="106"/>
      <c r="BF510" s="106"/>
      <c r="BG510" s="106"/>
      <c r="BH510" s="106"/>
      <c r="BI510" s="106"/>
      <c r="BJ510" s="106"/>
      <c r="BK510" s="106"/>
      <c r="BL510" s="106"/>
      <c r="BM510" s="106"/>
      <c r="BN510" s="106"/>
      <c r="BO510" s="106"/>
      <c r="BP510" s="106"/>
      <c r="BQ510" s="106"/>
      <c r="BR510" s="106"/>
      <c r="BS510" s="106"/>
      <c r="BT510" s="106"/>
      <c r="BU510" s="106"/>
    </row>
    <row r="511" spans="15:73"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6"/>
      <c r="AX511" s="106"/>
      <c r="AY511" s="106"/>
      <c r="AZ511" s="106"/>
      <c r="BA511" s="106"/>
      <c r="BB511" s="106"/>
      <c r="BC511" s="106"/>
      <c r="BD511" s="106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O511" s="106"/>
      <c r="BP511" s="106"/>
      <c r="BQ511" s="106"/>
      <c r="BR511" s="106"/>
      <c r="BS511" s="106"/>
      <c r="BT511" s="106"/>
      <c r="BU511" s="106"/>
    </row>
    <row r="512" spans="15:73"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106"/>
      <c r="AZ512" s="106"/>
      <c r="BA512" s="106"/>
      <c r="BB512" s="106"/>
      <c r="BC512" s="106"/>
      <c r="BD512" s="106"/>
      <c r="BE512" s="106"/>
      <c r="BF512" s="106"/>
      <c r="BG512" s="106"/>
      <c r="BH512" s="106"/>
      <c r="BI512" s="106"/>
      <c r="BJ512" s="106"/>
      <c r="BK512" s="106"/>
      <c r="BL512" s="106"/>
      <c r="BM512" s="106"/>
      <c r="BN512" s="106"/>
      <c r="BO512" s="106"/>
      <c r="BP512" s="106"/>
      <c r="BQ512" s="106"/>
      <c r="BR512" s="106"/>
      <c r="BS512" s="106"/>
      <c r="BT512" s="106"/>
      <c r="BU512" s="106"/>
    </row>
    <row r="513" spans="15:73"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6"/>
      <c r="AV513" s="106"/>
      <c r="AW513" s="106"/>
      <c r="AX513" s="106"/>
      <c r="AY513" s="106"/>
      <c r="AZ513" s="106"/>
      <c r="BA513" s="106"/>
      <c r="BB513" s="106"/>
      <c r="BC513" s="106"/>
      <c r="BD513" s="106"/>
      <c r="BE513" s="106"/>
      <c r="BF513" s="106"/>
      <c r="BG513" s="106"/>
      <c r="BH513" s="106"/>
      <c r="BI513" s="106"/>
      <c r="BJ513" s="106"/>
      <c r="BK513" s="106"/>
      <c r="BL513" s="106"/>
      <c r="BM513" s="106"/>
      <c r="BN513" s="106"/>
      <c r="BO513" s="106"/>
      <c r="BP513" s="106"/>
      <c r="BQ513" s="106"/>
      <c r="BR513" s="106"/>
      <c r="BS513" s="106"/>
      <c r="BT513" s="106"/>
      <c r="BU513" s="106"/>
    </row>
    <row r="514" spans="15:73"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6"/>
      <c r="AX514" s="106"/>
      <c r="AY514" s="106"/>
      <c r="AZ514" s="106"/>
      <c r="BA514" s="106"/>
      <c r="BB514" s="106"/>
      <c r="BC514" s="106"/>
      <c r="BD514" s="106"/>
      <c r="BE514" s="106"/>
      <c r="BF514" s="106"/>
      <c r="BG514" s="106"/>
      <c r="BH514" s="106"/>
      <c r="BI514" s="106"/>
      <c r="BJ514" s="106"/>
      <c r="BK514" s="106"/>
      <c r="BL514" s="106"/>
      <c r="BM514" s="106"/>
      <c r="BN514" s="106"/>
      <c r="BO514" s="106"/>
      <c r="BP514" s="106"/>
      <c r="BQ514" s="106"/>
      <c r="BR514" s="106"/>
      <c r="BS514" s="106"/>
      <c r="BT514" s="106"/>
      <c r="BU514" s="106"/>
    </row>
    <row r="515" spans="15:73"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6"/>
      <c r="AV515" s="106"/>
      <c r="AW515" s="106"/>
      <c r="AX515" s="106"/>
      <c r="AY515" s="106"/>
      <c r="AZ515" s="106"/>
      <c r="BA515" s="106"/>
      <c r="BB515" s="106"/>
      <c r="BC515" s="106"/>
      <c r="BD515" s="106"/>
      <c r="BE515" s="106"/>
      <c r="BF515" s="106"/>
      <c r="BG515" s="106"/>
      <c r="BH515" s="106"/>
      <c r="BI515" s="106"/>
      <c r="BJ515" s="106"/>
      <c r="BK515" s="106"/>
      <c r="BL515" s="106"/>
      <c r="BM515" s="106"/>
      <c r="BN515" s="106"/>
      <c r="BO515" s="106"/>
      <c r="BP515" s="106"/>
      <c r="BQ515" s="106"/>
      <c r="BR515" s="106"/>
      <c r="BS515" s="106"/>
      <c r="BT515" s="106"/>
      <c r="BU515" s="106"/>
    </row>
    <row r="516" spans="15:73"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6"/>
      <c r="AV516" s="106"/>
      <c r="AW516" s="106"/>
      <c r="AX516" s="106"/>
      <c r="AY516" s="106"/>
      <c r="AZ516" s="106"/>
      <c r="BA516" s="106"/>
      <c r="BB516" s="106"/>
      <c r="BC516" s="106"/>
      <c r="BD516" s="106"/>
      <c r="BE516" s="106"/>
      <c r="BF516" s="106"/>
      <c r="BG516" s="106"/>
      <c r="BH516" s="106"/>
      <c r="BI516" s="106"/>
      <c r="BJ516" s="106"/>
      <c r="BK516" s="106"/>
      <c r="BL516" s="106"/>
      <c r="BM516" s="106"/>
      <c r="BN516" s="106"/>
      <c r="BO516" s="106"/>
      <c r="BP516" s="106"/>
      <c r="BQ516" s="106"/>
      <c r="BR516" s="106"/>
      <c r="BS516" s="106"/>
      <c r="BT516" s="106"/>
      <c r="BU516" s="106"/>
    </row>
    <row r="517" spans="15:73"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6"/>
      <c r="AV517" s="106"/>
      <c r="AW517" s="106"/>
      <c r="AX517" s="106"/>
      <c r="AY517" s="106"/>
      <c r="AZ517" s="106"/>
      <c r="BA517" s="106"/>
      <c r="BB517" s="106"/>
      <c r="BC517" s="106"/>
      <c r="BD517" s="106"/>
      <c r="BE517" s="106"/>
      <c r="BF517" s="106"/>
      <c r="BG517" s="106"/>
      <c r="BH517" s="106"/>
      <c r="BI517" s="106"/>
      <c r="BJ517" s="106"/>
      <c r="BK517" s="106"/>
      <c r="BL517" s="106"/>
      <c r="BM517" s="106"/>
      <c r="BN517" s="106"/>
      <c r="BO517" s="106"/>
      <c r="BP517" s="106"/>
      <c r="BQ517" s="106"/>
      <c r="BR517" s="106"/>
      <c r="BS517" s="106"/>
      <c r="BT517" s="106"/>
      <c r="BU517" s="106"/>
    </row>
    <row r="518" spans="15:73"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6"/>
      <c r="AV518" s="106"/>
      <c r="AW518" s="106"/>
      <c r="AX518" s="106"/>
      <c r="AY518" s="106"/>
      <c r="AZ518" s="106"/>
      <c r="BA518" s="106"/>
      <c r="BB518" s="106"/>
      <c r="BC518" s="106"/>
      <c r="BD518" s="106"/>
      <c r="BE518" s="106"/>
      <c r="BF518" s="106"/>
      <c r="BG518" s="106"/>
      <c r="BH518" s="106"/>
      <c r="BI518" s="106"/>
      <c r="BJ518" s="106"/>
      <c r="BK518" s="106"/>
      <c r="BL518" s="106"/>
      <c r="BM518" s="106"/>
      <c r="BN518" s="106"/>
      <c r="BO518" s="106"/>
      <c r="BP518" s="106"/>
      <c r="BQ518" s="106"/>
      <c r="BR518" s="106"/>
      <c r="BS518" s="106"/>
      <c r="BT518" s="106"/>
      <c r="BU518" s="106"/>
    </row>
    <row r="519" spans="15:73"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/>
      <c r="AQ519" s="106"/>
      <c r="AR519" s="106"/>
      <c r="AS519" s="106"/>
      <c r="AT519" s="106"/>
      <c r="AU519" s="106"/>
      <c r="AV519" s="106"/>
      <c r="AW519" s="106"/>
      <c r="AX519" s="106"/>
      <c r="AY519" s="106"/>
      <c r="AZ519" s="106"/>
      <c r="BA519" s="106"/>
      <c r="BB519" s="106"/>
      <c r="BC519" s="106"/>
      <c r="BD519" s="106"/>
      <c r="BE519" s="106"/>
      <c r="BF519" s="106"/>
      <c r="BG519" s="106"/>
      <c r="BH519" s="106"/>
      <c r="BI519" s="106"/>
      <c r="BJ519" s="106"/>
      <c r="BK519" s="106"/>
      <c r="BL519" s="106"/>
      <c r="BM519" s="106"/>
      <c r="BN519" s="106"/>
      <c r="BO519" s="106"/>
      <c r="BP519" s="106"/>
      <c r="BQ519" s="106"/>
      <c r="BR519" s="106"/>
      <c r="BS519" s="106"/>
      <c r="BT519" s="106"/>
      <c r="BU519" s="106"/>
    </row>
    <row r="520" spans="15:73"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/>
      <c r="AQ520" s="106"/>
      <c r="AR520" s="106"/>
      <c r="AS520" s="106"/>
      <c r="AT520" s="106"/>
      <c r="AU520" s="106"/>
      <c r="AV520" s="106"/>
      <c r="AW520" s="106"/>
      <c r="AX520" s="106"/>
      <c r="AY520" s="106"/>
      <c r="AZ520" s="106"/>
      <c r="BA520" s="106"/>
      <c r="BB520" s="106"/>
      <c r="BC520" s="106"/>
      <c r="BD520" s="106"/>
      <c r="BE520" s="106"/>
      <c r="BF520" s="106"/>
      <c r="BG520" s="106"/>
      <c r="BH520" s="106"/>
      <c r="BI520" s="106"/>
      <c r="BJ520" s="106"/>
      <c r="BK520" s="106"/>
      <c r="BL520" s="106"/>
      <c r="BM520" s="106"/>
      <c r="BN520" s="106"/>
      <c r="BO520" s="106"/>
      <c r="BP520" s="106"/>
      <c r="BQ520" s="106"/>
      <c r="BR520" s="106"/>
      <c r="BS520" s="106"/>
      <c r="BT520" s="106"/>
      <c r="BU520" s="106"/>
    </row>
    <row r="521" spans="15:73"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6"/>
      <c r="AX521" s="106"/>
      <c r="AY521" s="106"/>
      <c r="AZ521" s="106"/>
      <c r="BA521" s="106"/>
      <c r="BB521" s="106"/>
      <c r="BC521" s="106"/>
      <c r="BD521" s="106"/>
      <c r="BE521" s="106"/>
      <c r="BF521" s="106"/>
      <c r="BG521" s="106"/>
      <c r="BH521" s="106"/>
      <c r="BI521" s="106"/>
      <c r="BJ521" s="106"/>
      <c r="BK521" s="106"/>
      <c r="BL521" s="106"/>
      <c r="BM521" s="106"/>
      <c r="BN521" s="106"/>
      <c r="BO521" s="106"/>
      <c r="BP521" s="106"/>
      <c r="BQ521" s="106"/>
      <c r="BR521" s="106"/>
      <c r="BS521" s="106"/>
      <c r="BT521" s="106"/>
      <c r="BU521" s="106"/>
    </row>
    <row r="522" spans="15:73"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6"/>
      <c r="AX522" s="106"/>
      <c r="AY522" s="106"/>
      <c r="AZ522" s="106"/>
      <c r="BA522" s="106"/>
      <c r="BB522" s="106"/>
      <c r="BC522" s="106"/>
      <c r="BD522" s="106"/>
      <c r="BE522" s="106"/>
      <c r="BF522" s="106"/>
      <c r="BG522" s="106"/>
      <c r="BH522" s="106"/>
      <c r="BI522" s="106"/>
      <c r="BJ522" s="106"/>
      <c r="BK522" s="106"/>
      <c r="BL522" s="106"/>
      <c r="BM522" s="106"/>
      <c r="BN522" s="106"/>
      <c r="BO522" s="106"/>
      <c r="BP522" s="106"/>
      <c r="BQ522" s="106"/>
      <c r="BR522" s="106"/>
      <c r="BS522" s="106"/>
      <c r="BT522" s="106"/>
      <c r="BU522" s="106"/>
    </row>
    <row r="523" spans="15:73"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6"/>
      <c r="AX523" s="106"/>
      <c r="AY523" s="106"/>
      <c r="AZ523" s="106"/>
      <c r="BA523" s="106"/>
      <c r="BB523" s="106"/>
      <c r="BC523" s="106"/>
      <c r="BD523" s="106"/>
      <c r="BE523" s="106"/>
      <c r="BF523" s="106"/>
      <c r="BG523" s="106"/>
      <c r="BH523" s="106"/>
      <c r="BI523" s="106"/>
      <c r="BJ523" s="106"/>
      <c r="BK523" s="106"/>
      <c r="BL523" s="106"/>
      <c r="BM523" s="106"/>
      <c r="BN523" s="106"/>
      <c r="BO523" s="106"/>
      <c r="BP523" s="106"/>
      <c r="BQ523" s="106"/>
      <c r="BR523" s="106"/>
      <c r="BS523" s="106"/>
      <c r="BT523" s="106"/>
      <c r="BU523" s="106"/>
    </row>
    <row r="524" spans="15:73"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6"/>
      <c r="AX524" s="106"/>
      <c r="AY524" s="106"/>
      <c r="AZ524" s="106"/>
      <c r="BA524" s="106"/>
      <c r="BB524" s="106"/>
      <c r="BC524" s="106"/>
      <c r="BD524" s="106"/>
      <c r="BE524" s="106"/>
      <c r="BF524" s="106"/>
      <c r="BG524" s="106"/>
      <c r="BH524" s="106"/>
      <c r="BI524" s="106"/>
      <c r="BJ524" s="106"/>
      <c r="BK524" s="106"/>
      <c r="BL524" s="106"/>
      <c r="BM524" s="106"/>
      <c r="BN524" s="106"/>
      <c r="BO524" s="106"/>
      <c r="BP524" s="106"/>
      <c r="BQ524" s="106"/>
      <c r="BR524" s="106"/>
      <c r="BS524" s="106"/>
      <c r="BT524" s="106"/>
      <c r="BU524" s="106"/>
    </row>
    <row r="525" spans="15:73"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  <c r="AZ525" s="106"/>
      <c r="BA525" s="106"/>
      <c r="BB525" s="106"/>
      <c r="BC525" s="106"/>
      <c r="BD525" s="106"/>
      <c r="BE525" s="106"/>
      <c r="BF525" s="106"/>
      <c r="BG525" s="106"/>
      <c r="BH525" s="106"/>
      <c r="BI525" s="106"/>
      <c r="BJ525" s="106"/>
      <c r="BK525" s="106"/>
      <c r="BL525" s="106"/>
      <c r="BM525" s="106"/>
      <c r="BN525" s="106"/>
      <c r="BO525" s="106"/>
      <c r="BP525" s="106"/>
      <c r="BQ525" s="106"/>
      <c r="BR525" s="106"/>
      <c r="BS525" s="106"/>
      <c r="BT525" s="106"/>
      <c r="BU525" s="106"/>
    </row>
    <row r="526" spans="15:73"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106"/>
      <c r="AR526" s="106"/>
      <c r="AS526" s="106"/>
      <c r="AT526" s="106"/>
      <c r="AU526" s="106"/>
      <c r="AV526" s="106"/>
      <c r="AW526" s="106"/>
      <c r="AX526" s="106"/>
      <c r="AY526" s="106"/>
      <c r="AZ526" s="106"/>
      <c r="BA526" s="106"/>
      <c r="BB526" s="106"/>
      <c r="BC526" s="106"/>
      <c r="BD526" s="106"/>
      <c r="BE526" s="106"/>
      <c r="BF526" s="106"/>
      <c r="BG526" s="106"/>
      <c r="BH526" s="106"/>
      <c r="BI526" s="106"/>
      <c r="BJ526" s="106"/>
      <c r="BK526" s="106"/>
      <c r="BL526" s="106"/>
      <c r="BM526" s="106"/>
      <c r="BN526" s="106"/>
      <c r="BO526" s="106"/>
      <c r="BP526" s="106"/>
      <c r="BQ526" s="106"/>
      <c r="BR526" s="106"/>
      <c r="BS526" s="106"/>
      <c r="BT526" s="106"/>
      <c r="BU526" s="106"/>
    </row>
    <row r="527" spans="15:73"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106"/>
      <c r="AR527" s="106"/>
      <c r="AS527" s="106"/>
      <c r="AT527" s="106"/>
      <c r="AU527" s="106"/>
      <c r="AV527" s="106"/>
      <c r="AW527" s="106"/>
      <c r="AX527" s="106"/>
      <c r="AY527" s="106"/>
      <c r="AZ527" s="106"/>
      <c r="BA527" s="106"/>
      <c r="BB527" s="106"/>
      <c r="BC527" s="106"/>
      <c r="BD527" s="106"/>
      <c r="BE527" s="106"/>
      <c r="BF527" s="106"/>
      <c r="BG527" s="106"/>
      <c r="BH527" s="106"/>
      <c r="BI527" s="106"/>
      <c r="BJ527" s="106"/>
      <c r="BK527" s="106"/>
      <c r="BL527" s="106"/>
      <c r="BM527" s="106"/>
      <c r="BN527" s="106"/>
      <c r="BO527" s="106"/>
      <c r="BP527" s="106"/>
      <c r="BQ527" s="106"/>
      <c r="BR527" s="106"/>
      <c r="BS527" s="106"/>
      <c r="BT527" s="106"/>
      <c r="BU527" s="106"/>
    </row>
    <row r="528" spans="15:73"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/>
      <c r="AQ528" s="106"/>
      <c r="AR528" s="106"/>
      <c r="AS528" s="106"/>
      <c r="AT528" s="106"/>
      <c r="AU528" s="106"/>
      <c r="AV528" s="106"/>
      <c r="AW528" s="106"/>
      <c r="AX528" s="106"/>
      <c r="AY528" s="106"/>
      <c r="AZ528" s="106"/>
      <c r="BA528" s="106"/>
      <c r="BB528" s="106"/>
      <c r="BC528" s="106"/>
      <c r="BD528" s="106"/>
      <c r="BE528" s="106"/>
      <c r="BF528" s="106"/>
      <c r="BG528" s="106"/>
      <c r="BH528" s="106"/>
      <c r="BI528" s="106"/>
      <c r="BJ528" s="106"/>
      <c r="BK528" s="106"/>
      <c r="BL528" s="106"/>
      <c r="BM528" s="106"/>
      <c r="BN528" s="106"/>
      <c r="BO528" s="106"/>
      <c r="BP528" s="106"/>
      <c r="BQ528" s="106"/>
      <c r="BR528" s="106"/>
      <c r="BS528" s="106"/>
      <c r="BT528" s="106"/>
      <c r="BU528" s="106"/>
    </row>
    <row r="529" spans="15:73"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106"/>
      <c r="AR529" s="106"/>
      <c r="AS529" s="106"/>
      <c r="AT529" s="106"/>
      <c r="AU529" s="106"/>
      <c r="AV529" s="106"/>
      <c r="AW529" s="106"/>
      <c r="AX529" s="106"/>
      <c r="AY529" s="106"/>
      <c r="AZ529" s="106"/>
      <c r="BA529" s="106"/>
      <c r="BB529" s="106"/>
      <c r="BC529" s="106"/>
      <c r="BD529" s="106"/>
      <c r="BE529" s="106"/>
      <c r="BF529" s="106"/>
      <c r="BG529" s="106"/>
      <c r="BH529" s="106"/>
      <c r="BI529" s="106"/>
      <c r="BJ529" s="106"/>
      <c r="BK529" s="106"/>
      <c r="BL529" s="106"/>
      <c r="BM529" s="106"/>
      <c r="BN529" s="106"/>
      <c r="BO529" s="106"/>
      <c r="BP529" s="106"/>
      <c r="BQ529" s="106"/>
      <c r="BR529" s="106"/>
      <c r="BS529" s="106"/>
      <c r="BT529" s="106"/>
      <c r="BU529" s="106"/>
    </row>
    <row r="530" spans="15:73"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106"/>
      <c r="AR530" s="106"/>
      <c r="AS530" s="106"/>
      <c r="AT530" s="106"/>
      <c r="AU530" s="106"/>
      <c r="AV530" s="106"/>
      <c r="AW530" s="106"/>
      <c r="AX530" s="106"/>
      <c r="AY530" s="106"/>
      <c r="AZ530" s="106"/>
      <c r="BA530" s="106"/>
      <c r="BB530" s="106"/>
      <c r="BC530" s="106"/>
      <c r="BD530" s="106"/>
      <c r="BE530" s="106"/>
      <c r="BF530" s="106"/>
      <c r="BG530" s="106"/>
      <c r="BH530" s="106"/>
      <c r="BI530" s="106"/>
      <c r="BJ530" s="106"/>
      <c r="BK530" s="106"/>
      <c r="BL530" s="106"/>
      <c r="BM530" s="106"/>
      <c r="BN530" s="106"/>
      <c r="BO530" s="106"/>
      <c r="BP530" s="106"/>
      <c r="BQ530" s="106"/>
      <c r="BR530" s="106"/>
      <c r="BS530" s="106"/>
      <c r="BT530" s="106"/>
      <c r="BU530" s="106"/>
    </row>
    <row r="531" spans="15:73"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106"/>
      <c r="AR531" s="106"/>
      <c r="AS531" s="106"/>
      <c r="AT531" s="106"/>
      <c r="AU531" s="106"/>
      <c r="AV531" s="106"/>
      <c r="AW531" s="106"/>
      <c r="AX531" s="106"/>
      <c r="AY531" s="106"/>
      <c r="AZ531" s="106"/>
      <c r="BA531" s="106"/>
      <c r="BB531" s="106"/>
      <c r="BC531" s="106"/>
      <c r="BD531" s="106"/>
      <c r="BE531" s="106"/>
      <c r="BF531" s="106"/>
      <c r="BG531" s="106"/>
      <c r="BH531" s="106"/>
      <c r="BI531" s="106"/>
      <c r="BJ531" s="106"/>
      <c r="BK531" s="106"/>
      <c r="BL531" s="106"/>
      <c r="BM531" s="106"/>
      <c r="BN531" s="106"/>
      <c r="BO531" s="106"/>
      <c r="BP531" s="106"/>
      <c r="BQ531" s="106"/>
      <c r="BR531" s="106"/>
      <c r="BS531" s="106"/>
      <c r="BT531" s="106"/>
      <c r="BU531" s="106"/>
    </row>
    <row r="532" spans="15:73"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6"/>
      <c r="AV532" s="106"/>
      <c r="AW532" s="106"/>
      <c r="AX532" s="106"/>
      <c r="AY532" s="106"/>
      <c r="AZ532" s="106"/>
      <c r="BA532" s="106"/>
      <c r="BB532" s="106"/>
      <c r="BC532" s="106"/>
      <c r="BD532" s="106"/>
      <c r="BE532" s="106"/>
      <c r="BF532" s="106"/>
      <c r="BG532" s="106"/>
      <c r="BH532" s="106"/>
      <c r="BI532" s="106"/>
      <c r="BJ532" s="106"/>
      <c r="BK532" s="106"/>
      <c r="BL532" s="106"/>
      <c r="BM532" s="106"/>
      <c r="BN532" s="106"/>
      <c r="BO532" s="106"/>
      <c r="BP532" s="106"/>
      <c r="BQ532" s="106"/>
      <c r="BR532" s="106"/>
      <c r="BS532" s="106"/>
      <c r="BT532" s="106"/>
      <c r="BU532" s="106"/>
    </row>
    <row r="533" spans="15:73"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106"/>
      <c r="AR533" s="106"/>
      <c r="AS533" s="106"/>
      <c r="AT533" s="106"/>
      <c r="AU533" s="106"/>
      <c r="AV533" s="106"/>
      <c r="AW533" s="106"/>
      <c r="AX533" s="106"/>
      <c r="AY533" s="106"/>
      <c r="AZ533" s="106"/>
      <c r="BA533" s="106"/>
      <c r="BB533" s="106"/>
      <c r="BC533" s="106"/>
      <c r="BD533" s="106"/>
      <c r="BE533" s="106"/>
      <c r="BF533" s="106"/>
      <c r="BG533" s="106"/>
      <c r="BH533" s="106"/>
      <c r="BI533" s="106"/>
      <c r="BJ533" s="106"/>
      <c r="BK533" s="106"/>
      <c r="BL533" s="106"/>
      <c r="BM533" s="106"/>
      <c r="BN533" s="106"/>
      <c r="BO533" s="106"/>
      <c r="BP533" s="106"/>
      <c r="BQ533" s="106"/>
      <c r="BR533" s="106"/>
      <c r="BS533" s="106"/>
      <c r="BT533" s="106"/>
      <c r="BU533" s="106"/>
    </row>
    <row r="534" spans="15:73"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6"/>
      <c r="AV534" s="106"/>
      <c r="AW534" s="106"/>
      <c r="AX534" s="106"/>
      <c r="AY534" s="106"/>
      <c r="AZ534" s="106"/>
      <c r="BA534" s="106"/>
      <c r="BB534" s="106"/>
      <c r="BC534" s="106"/>
      <c r="BD534" s="106"/>
      <c r="BE534" s="106"/>
      <c r="BF534" s="106"/>
      <c r="BG534" s="106"/>
      <c r="BH534" s="106"/>
      <c r="BI534" s="106"/>
      <c r="BJ534" s="106"/>
      <c r="BK534" s="106"/>
      <c r="BL534" s="106"/>
      <c r="BM534" s="106"/>
      <c r="BN534" s="106"/>
      <c r="BO534" s="106"/>
      <c r="BP534" s="106"/>
      <c r="BQ534" s="106"/>
      <c r="BR534" s="106"/>
      <c r="BS534" s="106"/>
      <c r="BT534" s="106"/>
      <c r="BU534" s="106"/>
    </row>
    <row r="535" spans="15:73"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106"/>
      <c r="AR535" s="106"/>
      <c r="AS535" s="106"/>
      <c r="AT535" s="106"/>
      <c r="AU535" s="106"/>
      <c r="AV535" s="106"/>
      <c r="AW535" s="106"/>
      <c r="AX535" s="106"/>
      <c r="AY535" s="106"/>
      <c r="AZ535" s="106"/>
      <c r="BA535" s="106"/>
      <c r="BB535" s="106"/>
      <c r="BC535" s="106"/>
      <c r="BD535" s="106"/>
      <c r="BE535" s="106"/>
      <c r="BF535" s="106"/>
      <c r="BG535" s="106"/>
      <c r="BH535" s="106"/>
      <c r="BI535" s="106"/>
      <c r="BJ535" s="106"/>
      <c r="BK535" s="106"/>
      <c r="BL535" s="106"/>
      <c r="BM535" s="106"/>
      <c r="BN535" s="106"/>
      <c r="BO535" s="106"/>
      <c r="BP535" s="106"/>
      <c r="BQ535" s="106"/>
      <c r="BR535" s="106"/>
      <c r="BS535" s="106"/>
      <c r="BT535" s="106"/>
      <c r="BU535" s="106"/>
    </row>
    <row r="536" spans="15:73"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106"/>
      <c r="AR536" s="106"/>
      <c r="AS536" s="106"/>
      <c r="AT536" s="106"/>
      <c r="AU536" s="106"/>
      <c r="AV536" s="106"/>
      <c r="AW536" s="106"/>
      <c r="AX536" s="106"/>
      <c r="AY536" s="106"/>
      <c r="AZ536" s="106"/>
      <c r="BA536" s="106"/>
      <c r="BB536" s="106"/>
      <c r="BC536" s="106"/>
      <c r="BD536" s="106"/>
      <c r="BE536" s="106"/>
      <c r="BF536" s="106"/>
      <c r="BG536" s="106"/>
      <c r="BH536" s="106"/>
      <c r="BI536" s="106"/>
      <c r="BJ536" s="106"/>
      <c r="BK536" s="106"/>
      <c r="BL536" s="106"/>
      <c r="BM536" s="106"/>
      <c r="BN536" s="106"/>
      <c r="BO536" s="106"/>
      <c r="BP536" s="106"/>
      <c r="BQ536" s="106"/>
      <c r="BR536" s="106"/>
      <c r="BS536" s="106"/>
      <c r="BT536" s="106"/>
      <c r="BU536" s="106"/>
    </row>
    <row r="537" spans="15:73"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6"/>
      <c r="AX537" s="106"/>
      <c r="AY537" s="106"/>
      <c r="AZ537" s="106"/>
      <c r="BA537" s="106"/>
      <c r="BB537" s="106"/>
      <c r="BC537" s="106"/>
      <c r="BD537" s="106"/>
      <c r="BE537" s="106"/>
      <c r="BF537" s="106"/>
      <c r="BG537" s="106"/>
      <c r="BH537" s="106"/>
      <c r="BI537" s="106"/>
      <c r="BJ537" s="106"/>
      <c r="BK537" s="106"/>
      <c r="BL537" s="106"/>
      <c r="BM537" s="106"/>
      <c r="BN537" s="106"/>
      <c r="BO537" s="106"/>
      <c r="BP537" s="106"/>
      <c r="BQ537" s="106"/>
      <c r="BR537" s="106"/>
      <c r="BS537" s="106"/>
      <c r="BT537" s="106"/>
      <c r="BU537" s="106"/>
    </row>
    <row r="538" spans="15:73"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  <c r="AZ538" s="106"/>
      <c r="BA538" s="106"/>
      <c r="BB538" s="106"/>
      <c r="BC538" s="106"/>
      <c r="BD538" s="106"/>
      <c r="BE538" s="106"/>
      <c r="BF538" s="106"/>
      <c r="BG538" s="106"/>
      <c r="BH538" s="106"/>
      <c r="BI538" s="106"/>
      <c r="BJ538" s="106"/>
      <c r="BK538" s="106"/>
      <c r="BL538" s="106"/>
      <c r="BM538" s="106"/>
      <c r="BN538" s="106"/>
      <c r="BO538" s="106"/>
      <c r="BP538" s="106"/>
      <c r="BQ538" s="106"/>
      <c r="BR538" s="106"/>
      <c r="BS538" s="106"/>
      <c r="BT538" s="106"/>
      <c r="BU538" s="106"/>
    </row>
    <row r="539" spans="15:73"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U539" s="106"/>
      <c r="AV539" s="106"/>
      <c r="AW539" s="106"/>
      <c r="AX539" s="106"/>
      <c r="AY539" s="106"/>
      <c r="AZ539" s="106"/>
      <c r="BA539" s="106"/>
      <c r="BB539" s="106"/>
      <c r="BC539" s="106"/>
      <c r="BD539" s="106"/>
      <c r="BE539" s="106"/>
      <c r="BF539" s="106"/>
      <c r="BG539" s="106"/>
      <c r="BH539" s="106"/>
      <c r="BI539" s="106"/>
      <c r="BJ539" s="106"/>
      <c r="BK539" s="106"/>
      <c r="BL539" s="106"/>
      <c r="BM539" s="106"/>
      <c r="BN539" s="106"/>
      <c r="BO539" s="106"/>
      <c r="BP539" s="106"/>
      <c r="BQ539" s="106"/>
      <c r="BR539" s="106"/>
      <c r="BS539" s="106"/>
      <c r="BT539" s="106"/>
      <c r="BU539" s="106"/>
    </row>
    <row r="540" spans="15:73"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/>
      <c r="AO540" s="106"/>
      <c r="AP540" s="106"/>
      <c r="AQ540" s="106"/>
      <c r="AR540" s="106"/>
      <c r="AS540" s="106"/>
      <c r="AT540" s="106"/>
      <c r="AU540" s="106"/>
      <c r="AV540" s="106"/>
      <c r="AW540" s="106"/>
      <c r="AX540" s="106"/>
      <c r="AY540" s="106"/>
      <c r="AZ540" s="106"/>
      <c r="BA540" s="106"/>
      <c r="BB540" s="106"/>
      <c r="BC540" s="106"/>
      <c r="BD540" s="106"/>
      <c r="BE540" s="106"/>
      <c r="BF540" s="106"/>
      <c r="BG540" s="106"/>
      <c r="BH540" s="106"/>
      <c r="BI540" s="106"/>
      <c r="BJ540" s="106"/>
      <c r="BK540" s="106"/>
      <c r="BL540" s="106"/>
      <c r="BM540" s="106"/>
      <c r="BN540" s="106"/>
      <c r="BO540" s="106"/>
      <c r="BP540" s="106"/>
      <c r="BQ540" s="106"/>
      <c r="BR540" s="106"/>
      <c r="BS540" s="106"/>
      <c r="BT540" s="106"/>
      <c r="BU540" s="106"/>
    </row>
  </sheetData>
  <dataConsolidate link="1"/>
  <phoneticPr fontId="29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7"/>
  <sheetViews>
    <sheetView showGridLines="0" zoomScale="85" zoomScaleNormal="85" workbookViewId="0"/>
  </sheetViews>
  <sheetFormatPr defaultColWidth="9.109375" defaultRowHeight="13.2"/>
  <cols>
    <col min="1" max="1" width="16" customWidth="1"/>
    <col min="2" max="2" width="12.33203125" bestFit="1" customWidth="1"/>
    <col min="3" max="3" width="13" bestFit="1" customWidth="1"/>
    <col min="4" max="4" width="8.6640625" bestFit="1" customWidth="1"/>
    <col min="5" max="5" width="11.5546875" bestFit="1" customWidth="1"/>
    <col min="6" max="6" width="1.6640625" customWidth="1"/>
    <col min="7" max="9" width="11.5546875" bestFit="1" customWidth="1"/>
    <col min="10" max="10" width="10.6640625" customWidth="1"/>
    <col min="11" max="11" width="13.5546875" customWidth="1"/>
    <col min="12" max="12" width="11.6640625" bestFit="1" customWidth="1"/>
  </cols>
  <sheetData>
    <row r="1" spans="1:12" ht="13.8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ht="13.8">
      <c r="A2" s="16"/>
      <c r="B2" s="163" t="s">
        <v>57</v>
      </c>
      <c r="C2" s="163"/>
      <c r="D2" s="163"/>
      <c r="E2" s="163"/>
      <c r="F2" s="16"/>
      <c r="G2" s="163" t="s">
        <v>58</v>
      </c>
      <c r="H2" s="163"/>
      <c r="I2" s="163"/>
      <c r="J2" s="16"/>
    </row>
    <row r="3" spans="1:12" ht="13.8">
      <c r="A3" s="16" t="s">
        <v>17</v>
      </c>
      <c r="B3" s="18" t="s">
        <v>20</v>
      </c>
      <c r="C3" s="21"/>
      <c r="D3" s="21"/>
      <c r="E3" s="21"/>
      <c r="F3" s="21"/>
      <c r="G3" s="21"/>
      <c r="H3" s="21"/>
      <c r="I3" s="21"/>
      <c r="J3" s="18" t="s">
        <v>59</v>
      </c>
    </row>
    <row r="4" spans="1:12" ht="13.8">
      <c r="A4" s="22" t="s">
        <v>60</v>
      </c>
      <c r="B4" s="24" t="s">
        <v>61</v>
      </c>
      <c r="C4" s="24" t="s">
        <v>26</v>
      </c>
      <c r="D4" s="24" t="s">
        <v>27</v>
      </c>
      <c r="E4" s="26" t="s">
        <v>62</v>
      </c>
      <c r="F4" s="25"/>
      <c r="G4" s="24" t="s">
        <v>63</v>
      </c>
      <c r="H4" s="24" t="s">
        <v>64</v>
      </c>
      <c r="I4" s="24" t="s">
        <v>62</v>
      </c>
      <c r="J4" s="24" t="s">
        <v>65</v>
      </c>
    </row>
    <row r="5" spans="1:12" ht="14.4">
      <c r="A5" s="16"/>
      <c r="B5" s="164" t="s">
        <v>66</v>
      </c>
      <c r="C5" s="164"/>
      <c r="D5" s="164"/>
      <c r="E5" s="164"/>
      <c r="F5" s="164"/>
      <c r="G5" s="164"/>
      <c r="H5" s="164"/>
      <c r="I5" s="164"/>
      <c r="J5" s="164"/>
    </row>
    <row r="6" spans="1:12" ht="13.8">
      <c r="A6" s="16" t="s">
        <v>37</v>
      </c>
      <c r="B6" s="44">
        <v>340.786</v>
      </c>
      <c r="C6" s="45">
        <f>C23</f>
        <v>51814.455000000002</v>
      </c>
      <c r="D6" s="45">
        <f>D23</f>
        <v>649.11497484899996</v>
      </c>
      <c r="E6" s="33">
        <f>E23</f>
        <v>52804.355974849001</v>
      </c>
      <c r="F6" s="45"/>
      <c r="G6" s="45">
        <f>G23</f>
        <v>38969.617926673003</v>
      </c>
      <c r="H6" s="45">
        <f>H23</f>
        <v>13523.811048175998</v>
      </c>
      <c r="I6" s="45">
        <f>I23</f>
        <v>52493.428974849005</v>
      </c>
      <c r="J6" s="45">
        <f>J22</f>
        <v>310.92700000000002</v>
      </c>
    </row>
    <row r="7" spans="1:12" ht="16.2">
      <c r="A7" s="16" t="s">
        <v>156</v>
      </c>
      <c r="B7" s="44">
        <f>J6</f>
        <v>310.92700000000002</v>
      </c>
      <c r="C7" s="45">
        <v>52564.07</v>
      </c>
      <c r="D7" s="45">
        <v>675</v>
      </c>
      <c r="E7" s="33">
        <f>SUM(B7:D7)</f>
        <v>53549.997000000003</v>
      </c>
      <c r="F7" s="45"/>
      <c r="G7" s="45">
        <v>39200</v>
      </c>
      <c r="H7" s="45">
        <v>14000</v>
      </c>
      <c r="I7" s="45">
        <f>E7-J7</f>
        <v>53199.997000000003</v>
      </c>
      <c r="J7" s="45">
        <v>350</v>
      </c>
    </row>
    <row r="8" spans="1:12" ht="16.2">
      <c r="A8" s="16" t="s">
        <v>155</v>
      </c>
      <c r="B8" s="44">
        <f>J7</f>
        <v>350</v>
      </c>
      <c r="C8" s="45">
        <v>54375</v>
      </c>
      <c r="D8" s="45">
        <v>650</v>
      </c>
      <c r="E8" s="33">
        <f>SUM(B8:D8)</f>
        <v>55375</v>
      </c>
      <c r="F8" s="45"/>
      <c r="G8" s="45">
        <v>40175</v>
      </c>
      <c r="H8" s="45">
        <v>14800</v>
      </c>
      <c r="I8" s="45">
        <f>E8-J8</f>
        <v>54975</v>
      </c>
      <c r="J8" s="45">
        <v>400</v>
      </c>
    </row>
    <row r="9" spans="1:12" ht="13.8">
      <c r="A9" s="16"/>
      <c r="B9" s="46"/>
      <c r="C9" s="46"/>
      <c r="D9" s="46"/>
      <c r="E9" s="46"/>
      <c r="F9" s="46"/>
      <c r="G9" s="45"/>
      <c r="H9" s="46"/>
      <c r="I9" s="46"/>
      <c r="J9" s="46"/>
    </row>
    <row r="10" spans="1:12" ht="13.8">
      <c r="A10" s="36" t="s">
        <v>37</v>
      </c>
      <c r="B10" s="47"/>
      <c r="C10" s="6"/>
      <c r="D10" s="6"/>
      <c r="E10" s="6"/>
      <c r="F10" s="6"/>
      <c r="G10" s="6"/>
      <c r="H10" s="6"/>
      <c r="I10" s="6"/>
      <c r="J10" s="6"/>
    </row>
    <row r="11" spans="1:12" ht="14.4">
      <c r="A11" s="16" t="s">
        <v>39</v>
      </c>
      <c r="B11" s="47">
        <f>B6</f>
        <v>340.786</v>
      </c>
      <c r="C11" s="6">
        <v>4591.6390000000001</v>
      </c>
      <c r="D11" s="6">
        <f>(56544.8*1.10231)/1000</f>
        <v>62.329898487999998</v>
      </c>
      <c r="E11" s="6">
        <f t="shared" ref="E11:E22" si="0">SUM(B11:D11)</f>
        <v>4994.7548984880004</v>
      </c>
      <c r="F11" s="6"/>
      <c r="G11" s="6">
        <f t="shared" ref="G11:G22" si="1">I11-H11</f>
        <v>3492.8235415470008</v>
      </c>
      <c r="H11" s="6">
        <f>(989241.1*1.10231)/1000</f>
        <v>1090.4503569409999</v>
      </c>
      <c r="I11" s="5">
        <f t="shared" ref="I11:I22" si="2">E11-J11</f>
        <v>4583.2738984880007</v>
      </c>
      <c r="J11" s="6">
        <v>411.48099999999999</v>
      </c>
      <c r="K11" s="107"/>
      <c r="L11" s="111"/>
    </row>
    <row r="12" spans="1:12" ht="14.4">
      <c r="A12" s="16" t="s">
        <v>40</v>
      </c>
      <c r="B12" s="47">
        <f t="shared" ref="B12:B19" si="3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0"/>
        <v>4905.4267354430003</v>
      </c>
      <c r="F12" s="6"/>
      <c r="G12" s="6">
        <f t="shared" si="1"/>
        <v>3282.1204081570004</v>
      </c>
      <c r="H12" s="6">
        <f>(1131890.6*1.10231)/1000</f>
        <v>1247.6943272859999</v>
      </c>
      <c r="I12" s="5">
        <f t="shared" si="2"/>
        <v>4529.8147354430002</v>
      </c>
      <c r="J12" s="6">
        <v>375.61200000000002</v>
      </c>
      <c r="K12" s="107"/>
      <c r="L12" s="111"/>
    </row>
    <row r="13" spans="1:12" ht="14.4">
      <c r="A13" s="16" t="s">
        <v>42</v>
      </c>
      <c r="B13" s="47">
        <f t="shared" si="3"/>
        <v>375.61200000000002</v>
      </c>
      <c r="C13" s="6">
        <v>4629.5519999999997</v>
      </c>
      <c r="D13" s="6">
        <f>(33571.6*1.10231)/1000</f>
        <v>37.006310395999996</v>
      </c>
      <c r="E13" s="6">
        <f t="shared" si="0"/>
        <v>5042.1703103959999</v>
      </c>
      <c r="F13" s="6"/>
      <c r="G13" s="6">
        <f t="shared" si="1"/>
        <v>3224.487584683</v>
      </c>
      <c r="H13" s="6">
        <f>(1275842.3*1.10231)/1000</f>
        <v>1406.3737257129999</v>
      </c>
      <c r="I13" s="5">
        <f t="shared" si="2"/>
        <v>4630.8613103959997</v>
      </c>
      <c r="J13" s="6">
        <v>411.30900000000003</v>
      </c>
      <c r="K13" s="107"/>
      <c r="L13" s="111"/>
    </row>
    <row r="14" spans="1:12" ht="14.4">
      <c r="A14" s="16" t="s">
        <v>43</v>
      </c>
      <c r="B14" s="47">
        <f t="shared" si="3"/>
        <v>411.30900000000003</v>
      </c>
      <c r="C14" s="6">
        <v>4533.1530000000002</v>
      </c>
      <c r="D14" s="6">
        <f>(40167.4*1.10231)/1000</f>
        <v>44.276926693999997</v>
      </c>
      <c r="E14" s="6">
        <f t="shared" si="0"/>
        <v>4988.7389266940008</v>
      </c>
      <c r="F14" s="6"/>
      <c r="G14" s="6">
        <f t="shared" si="1"/>
        <v>3259.9617703520012</v>
      </c>
      <c r="H14" s="6">
        <f>(1177548.2*1.10231)/1000</f>
        <v>1298.0231563419998</v>
      </c>
      <c r="I14" s="5">
        <f t="shared" si="2"/>
        <v>4557.9849266940009</v>
      </c>
      <c r="J14" s="6">
        <v>430.75400000000002</v>
      </c>
      <c r="K14" s="107"/>
      <c r="L14" s="111"/>
    </row>
    <row r="15" spans="1:12" ht="14.4">
      <c r="A15" s="16" t="s">
        <v>44</v>
      </c>
      <c r="B15" s="47">
        <f t="shared" si="3"/>
        <v>430.75400000000002</v>
      </c>
      <c r="C15" s="6">
        <v>4089.9549999999999</v>
      </c>
      <c r="D15" s="6">
        <f>(46777.6*1.10231)/1000</f>
        <v>51.563416255999996</v>
      </c>
      <c r="E15" s="6">
        <f t="shared" si="0"/>
        <v>4572.2724162559998</v>
      </c>
      <c r="F15" s="6"/>
      <c r="G15" s="6">
        <f t="shared" si="1"/>
        <v>3104.2082034579998</v>
      </c>
      <c r="H15" s="6">
        <f>(981745.8*1.10231)/1000</f>
        <v>1082.1882127979998</v>
      </c>
      <c r="I15" s="5">
        <f t="shared" si="2"/>
        <v>4186.3964162559996</v>
      </c>
      <c r="J15" s="6">
        <v>385.87600000000003</v>
      </c>
      <c r="K15" s="107"/>
      <c r="L15" s="111"/>
    </row>
    <row r="16" spans="1:12" ht="14.4">
      <c r="A16" s="16" t="s">
        <v>46</v>
      </c>
      <c r="B16" s="47">
        <f t="shared" si="3"/>
        <v>385.87600000000003</v>
      </c>
      <c r="C16" s="6">
        <v>4549.6310000000003</v>
      </c>
      <c r="D16" s="6">
        <f>(36598.4*1.10231)/1000</f>
        <v>40.342782304000004</v>
      </c>
      <c r="E16" s="6">
        <f t="shared" si="0"/>
        <v>4975.8497823040007</v>
      </c>
      <c r="F16" s="6"/>
      <c r="G16" s="6">
        <f t="shared" si="1"/>
        <v>3397.5364563470011</v>
      </c>
      <c r="H16" s="6">
        <f>(1086214.7*1.10231)/1000</f>
        <v>1197.3453259569999</v>
      </c>
      <c r="I16" s="5">
        <f t="shared" si="2"/>
        <v>4594.8817823040008</v>
      </c>
      <c r="J16" s="6">
        <v>380.96799999999996</v>
      </c>
      <c r="K16" s="107"/>
      <c r="L16" s="111"/>
    </row>
    <row r="17" spans="1:12" ht="14.4">
      <c r="A17" s="16" t="s">
        <v>47</v>
      </c>
      <c r="B17" s="47">
        <f t="shared" si="3"/>
        <v>380.96799999999996</v>
      </c>
      <c r="C17" s="6">
        <v>4254.5450000000001</v>
      </c>
      <c r="D17" s="6">
        <f>(55089.9*1.10231)/1000</f>
        <v>60.726147668999999</v>
      </c>
      <c r="E17" s="6">
        <f t="shared" si="0"/>
        <v>4696.239147669</v>
      </c>
      <c r="F17" s="6"/>
      <c r="G17" s="6">
        <f t="shared" si="1"/>
        <v>3065.5731103500002</v>
      </c>
      <c r="H17" s="6">
        <f>(1075604.9*1.10231)/1000</f>
        <v>1185.6500373189999</v>
      </c>
      <c r="I17" s="5">
        <f t="shared" si="2"/>
        <v>4251.2231476690004</v>
      </c>
      <c r="J17" s="6">
        <v>445.01600000000002</v>
      </c>
      <c r="K17" s="107"/>
      <c r="L17" s="111"/>
    </row>
    <row r="18" spans="1:12" ht="14.4">
      <c r="A18" s="16" t="s">
        <v>48</v>
      </c>
      <c r="B18" s="47">
        <f t="shared" si="3"/>
        <v>445.01600000000002</v>
      </c>
      <c r="C18" s="6">
        <v>4260.0889999999999</v>
      </c>
      <c r="D18" s="112">
        <f>(66198.8*1.10231)/1000</f>
        <v>72.971599227999988</v>
      </c>
      <c r="E18" s="6">
        <f t="shared" si="0"/>
        <v>4778.0765992279994</v>
      </c>
      <c r="F18" s="6"/>
      <c r="G18" s="6">
        <f t="shared" si="1"/>
        <v>3171.9378907949995</v>
      </c>
      <c r="H18" s="112">
        <f>(1036354.3*1.10231)/1000</f>
        <v>1142.3837084329998</v>
      </c>
      <c r="I18" s="5">
        <f t="shared" si="2"/>
        <v>4314.3215992279993</v>
      </c>
      <c r="J18" s="6">
        <v>463.755</v>
      </c>
      <c r="K18" s="107"/>
      <c r="L18" s="111"/>
    </row>
    <row r="19" spans="1:12" ht="14.4">
      <c r="A19" s="16" t="s">
        <v>50</v>
      </c>
      <c r="B19" s="47">
        <f t="shared" si="3"/>
        <v>463.755</v>
      </c>
      <c r="C19" s="6">
        <v>4106.5650000000005</v>
      </c>
      <c r="D19" s="112">
        <f>(56052.6*1.10231)/1000</f>
        <v>61.78734150599999</v>
      </c>
      <c r="E19" s="6">
        <f t="shared" si="0"/>
        <v>4632.1073415060009</v>
      </c>
      <c r="F19" s="6"/>
      <c r="G19" s="6">
        <f t="shared" si="1"/>
        <v>3129.3458416380008</v>
      </c>
      <c r="H19" s="112">
        <f>(1039142.8*1.10231)/1000</f>
        <v>1145.457499868</v>
      </c>
      <c r="I19" s="5">
        <f t="shared" si="2"/>
        <v>4274.8033415060008</v>
      </c>
      <c r="J19" s="6">
        <v>357.30399999999997</v>
      </c>
      <c r="K19" s="107"/>
    </row>
    <row r="20" spans="1:12" ht="14.4">
      <c r="A20" s="16" t="s">
        <v>51</v>
      </c>
      <c r="B20" s="47">
        <f>J19</f>
        <v>357.30399999999997</v>
      </c>
      <c r="C20" s="6">
        <v>4270.28</v>
      </c>
      <c r="D20" s="112">
        <f>(67390*1.10231)/1000</f>
        <v>74.284670899999995</v>
      </c>
      <c r="E20" s="6">
        <f t="shared" si="0"/>
        <v>4701.8686708999994</v>
      </c>
      <c r="F20" s="6"/>
      <c r="G20" s="6">
        <f t="shared" si="1"/>
        <v>3260.6808691549995</v>
      </c>
      <c r="H20" s="112">
        <f>(829589.5*1.10231)/1000</f>
        <v>914.46480174499993</v>
      </c>
      <c r="I20" s="5">
        <f t="shared" si="2"/>
        <v>4175.1456708999995</v>
      </c>
      <c r="J20" s="6">
        <v>526.72299999999996</v>
      </c>
      <c r="K20" s="107"/>
    </row>
    <row r="21" spans="1:12" ht="14.4">
      <c r="A21" s="16" t="s">
        <v>52</v>
      </c>
      <c r="B21" s="47">
        <f>J20</f>
        <v>526.72299999999996</v>
      </c>
      <c r="C21" s="6">
        <v>4147.2370000000001</v>
      </c>
      <c r="D21" s="112">
        <f>(45618.3*1.10231)/1000</f>
        <v>50.285508272999998</v>
      </c>
      <c r="E21" s="6">
        <f t="shared" si="0"/>
        <v>4724.2455082730003</v>
      </c>
      <c r="F21" s="6"/>
      <c r="G21" s="6">
        <f t="shared" si="1"/>
        <v>3463.4597325930004</v>
      </c>
      <c r="H21" s="112">
        <f>(828128*1.10231)/1000</f>
        <v>912.85377568000001</v>
      </c>
      <c r="I21" s="5">
        <f t="shared" si="2"/>
        <v>4376.3135082730005</v>
      </c>
      <c r="J21" s="6">
        <v>347.93200000000002</v>
      </c>
      <c r="K21" s="107"/>
    </row>
    <row r="22" spans="1:12" ht="14.4">
      <c r="A22" s="16" t="s">
        <v>38</v>
      </c>
      <c r="B22" s="47">
        <f>J21</f>
        <v>347.93200000000002</v>
      </c>
      <c r="C22" s="6">
        <v>3925.0389999999998</v>
      </c>
      <c r="D22" s="112">
        <f>(51133.2*1.10231)/1000</f>
        <v>56.364637691999988</v>
      </c>
      <c r="E22" s="6">
        <f t="shared" si="0"/>
        <v>4329.3356376919992</v>
      </c>
      <c r="F22" s="6"/>
      <c r="G22" s="6">
        <f t="shared" si="1"/>
        <v>3117.482517597999</v>
      </c>
      <c r="H22" s="112">
        <f>(817307.4*1.10231)/1000</f>
        <v>900.92612009399988</v>
      </c>
      <c r="I22" s="5">
        <f t="shared" si="2"/>
        <v>4018.408637691999</v>
      </c>
      <c r="J22" s="6">
        <v>310.92700000000002</v>
      </c>
      <c r="K22" s="115"/>
    </row>
    <row r="23" spans="1:12" ht="14.4">
      <c r="A23" s="16" t="s">
        <v>28</v>
      </c>
      <c r="B23" s="47"/>
      <c r="C23" s="6">
        <f>SUM(C11:C22)</f>
        <v>51814.455000000002</v>
      </c>
      <c r="D23" s="6">
        <f>(588867.9*1.10231)/1000</f>
        <v>649.11497484899996</v>
      </c>
      <c r="E23" s="6">
        <f>B11+C23+D23</f>
        <v>52804.355974849001</v>
      </c>
      <c r="F23" s="6"/>
      <c r="G23" s="6">
        <f>SUM(G11:G22)</f>
        <v>38969.617926673003</v>
      </c>
      <c r="H23" s="6">
        <f>(12268609.6*1.10231)/1000</f>
        <v>13523.811048175998</v>
      </c>
      <c r="I23" s="6">
        <f>SUM(I11:I22)</f>
        <v>52493.428974849005</v>
      </c>
      <c r="J23" s="6"/>
      <c r="K23" s="107"/>
    </row>
    <row r="24" spans="1:12" ht="14.4">
      <c r="A24" s="16"/>
      <c r="B24" s="47"/>
      <c r="C24" s="6"/>
      <c r="D24" s="6"/>
      <c r="E24" s="6"/>
      <c r="F24" s="6"/>
      <c r="G24" s="6"/>
      <c r="H24" s="6"/>
      <c r="I24" s="6"/>
      <c r="J24" s="6"/>
      <c r="K24" s="107"/>
    </row>
    <row r="25" spans="1:12" ht="14.4">
      <c r="A25" s="36" t="s">
        <v>54</v>
      </c>
      <c r="B25" s="47"/>
      <c r="C25" s="6"/>
      <c r="D25" s="6"/>
      <c r="E25" s="6"/>
      <c r="F25" s="6"/>
      <c r="G25" s="6"/>
      <c r="H25" s="6"/>
      <c r="I25" s="6"/>
      <c r="J25" s="6"/>
      <c r="K25" s="107"/>
    </row>
    <row r="26" spans="1:12" ht="14.4">
      <c r="A26" s="16" t="s">
        <v>39</v>
      </c>
      <c r="B26" s="47">
        <f>J22</f>
        <v>310.92700000000002</v>
      </c>
      <c r="C26" s="6">
        <v>4603.3959999999997</v>
      </c>
      <c r="D26" s="6">
        <f>(58138.2*1.10231)/1000</f>
        <v>64.086319241999988</v>
      </c>
      <c r="E26" s="6">
        <f t="shared" ref="E26:E32" si="4">SUM(B26:D26)</f>
        <v>4978.4093192419996</v>
      </c>
      <c r="F26" s="6"/>
      <c r="G26" s="6">
        <f t="shared" ref="G26:G32" si="5">I26-H26</f>
        <v>3640.5241230109996</v>
      </c>
      <c r="H26" s="6">
        <f>(870600.1*1.10231)/1000</f>
        <v>959.67119623099984</v>
      </c>
      <c r="I26" s="5">
        <f t="shared" ref="I26:I32" si="6">E26-J26</f>
        <v>4600.1953192419996</v>
      </c>
      <c r="J26" s="6">
        <v>378.214</v>
      </c>
      <c r="K26" s="107"/>
    </row>
    <row r="27" spans="1:12" ht="14.4">
      <c r="A27" s="16" t="s">
        <v>40</v>
      </c>
      <c r="B27" s="47">
        <f t="shared" ref="B27:B32" si="7">J26</f>
        <v>378.214</v>
      </c>
      <c r="C27" s="6">
        <v>4469.9660000000003</v>
      </c>
      <c r="D27" s="6">
        <f>(53339.9*1.10231)/1000</f>
        <v>58.797105168999998</v>
      </c>
      <c r="E27" s="6">
        <f t="shared" si="4"/>
        <v>4906.9771051690004</v>
      </c>
      <c r="F27" s="6"/>
      <c r="G27" s="6">
        <f t="shared" si="5"/>
        <v>3305.9972672080012</v>
      </c>
      <c r="H27" s="6">
        <f>(1135683.1*1.10231)/1000</f>
        <v>1251.8748379609999</v>
      </c>
      <c r="I27" s="5">
        <f t="shared" si="6"/>
        <v>4557.8721051690009</v>
      </c>
      <c r="J27" s="6">
        <v>349.10500000000002</v>
      </c>
      <c r="K27" s="107"/>
    </row>
    <row r="28" spans="1:12" ht="14.4">
      <c r="A28" s="16" t="s">
        <v>42</v>
      </c>
      <c r="B28" s="47">
        <f t="shared" si="7"/>
        <v>349.10500000000002</v>
      </c>
      <c r="C28" s="6">
        <v>4437.4089999999997</v>
      </c>
      <c r="D28" s="6">
        <f>(32195.5*1.10231)/1000</f>
        <v>35.489421604999997</v>
      </c>
      <c r="E28" s="6">
        <f t="shared" si="4"/>
        <v>4822.0034216049989</v>
      </c>
      <c r="F28" s="6"/>
      <c r="G28" s="6">
        <f t="shared" si="5"/>
        <v>3048.1806654779984</v>
      </c>
      <c r="H28" s="6">
        <f>(1195621.7*1.10231)/1000</f>
        <v>1317.9457561269999</v>
      </c>
      <c r="I28" s="5">
        <f t="shared" si="6"/>
        <v>4366.1264216049985</v>
      </c>
      <c r="J28" s="6">
        <v>455.87700000000001</v>
      </c>
      <c r="K28" s="107"/>
    </row>
    <row r="29" spans="1:12" ht="14.4">
      <c r="A29" s="16" t="s">
        <v>43</v>
      </c>
      <c r="B29" s="47">
        <f t="shared" si="7"/>
        <v>455.87700000000001</v>
      </c>
      <c r="C29" s="6">
        <v>4540.9090000000006</v>
      </c>
      <c r="D29" s="6">
        <f>(87357.8*1.10231)/1000</f>
        <v>96.295376517999983</v>
      </c>
      <c r="E29" s="6">
        <f t="shared" si="4"/>
        <v>5093.081376518001</v>
      </c>
      <c r="F29" s="6"/>
      <c r="G29" s="6">
        <f t="shared" si="5"/>
        <v>3101.8863894670012</v>
      </c>
      <c r="H29" s="6">
        <f>(1404622.1*1.10231)/1000</f>
        <v>1548.3289870509998</v>
      </c>
      <c r="I29" s="5">
        <f t="shared" si="6"/>
        <v>4650.215376518001</v>
      </c>
      <c r="J29" s="6">
        <v>442.86599999999999</v>
      </c>
      <c r="K29" s="107"/>
    </row>
    <row r="30" spans="1:12" ht="13.8">
      <c r="A30" s="16" t="s">
        <v>44</v>
      </c>
      <c r="B30" s="47">
        <f t="shared" si="7"/>
        <v>442.86599999999999</v>
      </c>
      <c r="C30" s="6">
        <v>4197.5839999999998</v>
      </c>
      <c r="D30" s="6">
        <f>(40187.2*1.10231)/1000</f>
        <v>44.298752431999993</v>
      </c>
      <c r="E30" s="6">
        <f t="shared" si="4"/>
        <v>4684.7487524319995</v>
      </c>
      <c r="F30" s="6"/>
      <c r="G30" s="6">
        <f t="shared" si="5"/>
        <v>3189.261751647</v>
      </c>
      <c r="H30" s="6">
        <f>(925173.5*1.10231)/1000</f>
        <v>1019.828000785</v>
      </c>
      <c r="I30" s="5">
        <f t="shared" si="6"/>
        <v>4209.0897524319998</v>
      </c>
      <c r="J30" s="6">
        <v>475.65899999999999</v>
      </c>
      <c r="K30" s="143"/>
    </row>
    <row r="31" spans="1:12" ht="14.4">
      <c r="A31" s="16" t="s">
        <v>46</v>
      </c>
      <c r="B31" s="47">
        <f t="shared" si="7"/>
        <v>475.65899999999999</v>
      </c>
      <c r="C31" s="6">
        <v>4698.1610000000001</v>
      </c>
      <c r="D31" s="6">
        <f>(43410.1*1.10231)/1000</f>
        <v>47.851387330999991</v>
      </c>
      <c r="E31" s="6">
        <f t="shared" si="4"/>
        <v>5221.671387331</v>
      </c>
      <c r="F31" s="6"/>
      <c r="G31" s="6">
        <f t="shared" si="5"/>
        <v>3369.7769356149997</v>
      </c>
      <c r="H31" s="6">
        <f>(1336143.6*1.10231)/1000</f>
        <v>1472.8444517160001</v>
      </c>
      <c r="I31" s="5">
        <f t="shared" si="6"/>
        <v>4842.6213873309998</v>
      </c>
      <c r="J31" s="6">
        <v>379.04999999999995</v>
      </c>
      <c r="K31" s="144"/>
    </row>
    <row r="32" spans="1:12" ht="14.4">
      <c r="A32" s="15" t="s">
        <v>47</v>
      </c>
      <c r="B32" s="48">
        <f t="shared" si="7"/>
        <v>379.04999999999995</v>
      </c>
      <c r="C32" s="41">
        <v>4433.6350000000002</v>
      </c>
      <c r="D32" s="41">
        <f>(25951.8*1.10231)/1000</f>
        <v>28.606928657999998</v>
      </c>
      <c r="E32" s="41">
        <f t="shared" si="4"/>
        <v>4841.291928658</v>
      </c>
      <c r="F32" s="41"/>
      <c r="G32" s="41">
        <f t="shared" si="5"/>
        <v>3019.334526696</v>
      </c>
      <c r="H32" s="41">
        <f>(1128650.2*1.10231)/1000</f>
        <v>1244.1224019619999</v>
      </c>
      <c r="I32" s="53">
        <f t="shared" si="6"/>
        <v>4263.4569286579999</v>
      </c>
      <c r="J32" s="41">
        <v>577.83499999999992</v>
      </c>
      <c r="K32" s="144"/>
    </row>
    <row r="33" spans="1:10" ht="16.2">
      <c r="A33" s="49" t="s">
        <v>67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4.4">
      <c r="A34" s="16" t="s">
        <v>68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3.8">
      <c r="A35" s="21" t="s">
        <v>56</v>
      </c>
      <c r="B35" s="43">
        <f>Contents!A16</f>
        <v>45090</v>
      </c>
      <c r="C35" s="39"/>
      <c r="D35" s="34"/>
      <c r="E35" s="34"/>
      <c r="F35" s="34"/>
      <c r="G35" s="34"/>
      <c r="H35" s="34"/>
      <c r="I35" s="34"/>
      <c r="J35" s="34"/>
    </row>
    <row r="36" spans="1:10">
      <c r="B36" s="50"/>
      <c r="C36" s="51"/>
      <c r="D36" s="50"/>
      <c r="E36" s="104"/>
      <c r="F36" s="50"/>
      <c r="G36" s="50"/>
      <c r="H36" s="52"/>
      <c r="I36" s="104"/>
      <c r="J36" s="50"/>
    </row>
    <row r="37" spans="1:10">
      <c r="B37" s="50"/>
      <c r="C37" s="50"/>
      <c r="D37" s="50"/>
      <c r="E37" s="50"/>
      <c r="F37" s="50"/>
      <c r="G37" s="50"/>
      <c r="H37" s="50"/>
      <c r="I37" s="50"/>
      <c r="J37" s="50"/>
    </row>
  </sheetData>
  <mergeCells count="3">
    <mergeCell ref="G2:I2"/>
    <mergeCell ref="B5:J5"/>
    <mergeCell ref="B2:E2"/>
  </mergeCells>
  <phoneticPr fontId="29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6"/>
  <sheetViews>
    <sheetView showGridLines="0" zoomScale="85" zoomScaleNormal="85" workbookViewId="0">
      <selection activeCell="D8" sqref="D8"/>
    </sheetView>
  </sheetViews>
  <sheetFormatPr defaultColWidth="9.109375" defaultRowHeight="13.2"/>
  <cols>
    <col min="1" max="1" width="15.44140625" customWidth="1"/>
    <col min="2" max="2" width="12.33203125" bestFit="1" customWidth="1"/>
    <col min="3" max="3" width="12.109375" bestFit="1" customWidth="1"/>
    <col min="4" max="4" width="11" bestFit="1" customWidth="1"/>
    <col min="5" max="5" width="11.33203125" bestFit="1" customWidth="1"/>
    <col min="6" max="6" width="3.6640625" customWidth="1"/>
    <col min="7" max="7" width="11.5546875" bestFit="1" customWidth="1"/>
    <col min="8" max="8" width="10.6640625" customWidth="1"/>
    <col min="9" max="9" width="12.6640625" customWidth="1"/>
    <col min="10" max="10" width="9.6640625" bestFit="1" customWidth="1"/>
    <col min="11" max="11" width="11.5546875" bestFit="1" customWidth="1"/>
    <col min="12" max="12" width="12.5546875" bestFit="1" customWidth="1"/>
    <col min="14" max="14" width="11.109375" customWidth="1"/>
  </cols>
  <sheetData>
    <row r="1" spans="1:14" ht="13.8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3.8">
      <c r="A2" s="16"/>
      <c r="B2" s="163" t="s">
        <v>57</v>
      </c>
      <c r="C2" s="163"/>
      <c r="D2" s="163"/>
      <c r="E2" s="163"/>
      <c r="F2" s="16"/>
      <c r="G2" s="163" t="s">
        <v>58</v>
      </c>
      <c r="H2" s="163"/>
      <c r="I2" s="163"/>
      <c r="J2" s="124"/>
      <c r="K2" s="124"/>
      <c r="L2" s="16"/>
    </row>
    <row r="3" spans="1:14" ht="13.8">
      <c r="A3" s="16" t="s">
        <v>17</v>
      </c>
      <c r="B3" s="18" t="s">
        <v>69</v>
      </c>
      <c r="C3" s="18" t="s">
        <v>26</v>
      </c>
      <c r="D3" s="18" t="s">
        <v>70</v>
      </c>
      <c r="E3" s="18" t="s">
        <v>62</v>
      </c>
      <c r="F3" s="18"/>
      <c r="G3" s="124" t="s">
        <v>63</v>
      </c>
      <c r="H3" s="124"/>
      <c r="I3" s="124"/>
      <c r="J3" s="18" t="s">
        <v>71</v>
      </c>
      <c r="K3" s="18" t="s">
        <v>62</v>
      </c>
      <c r="L3" s="18" t="s">
        <v>59</v>
      </c>
    </row>
    <row r="4" spans="1:14" ht="16.2">
      <c r="A4" s="22" t="s">
        <v>60</v>
      </c>
      <c r="B4" s="24" t="s">
        <v>61</v>
      </c>
      <c r="C4" s="25"/>
      <c r="D4" s="25"/>
      <c r="E4" s="25"/>
      <c r="F4" s="25"/>
      <c r="G4" s="24" t="s">
        <v>28</v>
      </c>
      <c r="H4" s="24" t="s">
        <v>72</v>
      </c>
      <c r="I4" s="24" t="s">
        <v>73</v>
      </c>
      <c r="J4" s="25"/>
      <c r="K4" s="25"/>
      <c r="L4" s="18" t="s">
        <v>65</v>
      </c>
    </row>
    <row r="5" spans="1:14" ht="14.4">
      <c r="A5" s="16"/>
      <c r="B5" s="165" t="s">
        <v>74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4" ht="16.2">
      <c r="A6" s="16" t="s">
        <v>35</v>
      </c>
      <c r="B6" s="46">
        <v>2131.2330000000002</v>
      </c>
      <c r="C6" s="46">
        <f>C23</f>
        <v>26155.173000000003</v>
      </c>
      <c r="D6" s="46">
        <f>D23</f>
        <v>303.28830530459993</v>
      </c>
      <c r="E6" s="46">
        <f>E23</f>
        <v>28589.694305304602</v>
      </c>
      <c r="F6" s="46"/>
      <c r="G6" s="46">
        <f>K6-J6</f>
        <v>24825.1031737536</v>
      </c>
      <c r="H6" s="46">
        <v>10348.19</v>
      </c>
      <c r="I6" s="33">
        <f>G6-H6</f>
        <v>14476.913173753599</v>
      </c>
      <c r="J6" s="46">
        <f>J23</f>
        <v>1773.4431315509999</v>
      </c>
      <c r="K6" s="46">
        <f>E6-L6</f>
        <v>26598.546305304601</v>
      </c>
      <c r="L6" s="46">
        <f>L22</f>
        <v>1991.1480000000001</v>
      </c>
    </row>
    <row r="7" spans="1:14" ht="16.2">
      <c r="A7" s="16" t="s">
        <v>36</v>
      </c>
      <c r="B7" s="46">
        <f>L6</f>
        <v>1991.1480000000001</v>
      </c>
      <c r="C7" s="46">
        <v>26195</v>
      </c>
      <c r="D7" s="46">
        <v>325</v>
      </c>
      <c r="E7" s="46">
        <f>SUM(B7:D7)</f>
        <v>28511.148000000001</v>
      </c>
      <c r="F7" s="46"/>
      <c r="G7" s="46">
        <f>K7-J7</f>
        <v>26125</v>
      </c>
      <c r="H7" s="46">
        <v>11600</v>
      </c>
      <c r="I7" s="33">
        <f>G7-H7</f>
        <v>14525</v>
      </c>
      <c r="J7" s="46">
        <v>450</v>
      </c>
      <c r="K7" s="46">
        <f>E7-L7</f>
        <v>26575</v>
      </c>
      <c r="L7" s="46">
        <v>1936.148000000001</v>
      </c>
    </row>
    <row r="8" spans="1:14" ht="16.2">
      <c r="A8" s="16" t="s">
        <v>155</v>
      </c>
      <c r="B8" s="46">
        <f>L7</f>
        <v>1936.148000000001</v>
      </c>
      <c r="C8" s="46">
        <v>27145</v>
      </c>
      <c r="D8" s="46">
        <v>350</v>
      </c>
      <c r="E8" s="46">
        <f>SUM(B8:D8)</f>
        <v>29431.148000000001</v>
      </c>
      <c r="F8" s="46"/>
      <c r="G8" s="46">
        <f>K8-J8</f>
        <v>27000</v>
      </c>
      <c r="H8" s="46">
        <v>12500</v>
      </c>
      <c r="I8" s="33">
        <f>G8-H8</f>
        <v>14500</v>
      </c>
      <c r="J8" s="46">
        <v>600</v>
      </c>
      <c r="K8" s="46">
        <f>E8-L8</f>
        <v>27600</v>
      </c>
      <c r="L8" s="46">
        <v>1831.148000000001</v>
      </c>
    </row>
    <row r="9" spans="1:14" ht="13.8">
      <c r="A9" s="16"/>
      <c r="B9" s="46"/>
      <c r="C9" s="46"/>
      <c r="D9" s="46"/>
      <c r="E9" s="46"/>
      <c r="F9" s="46"/>
      <c r="G9" s="46"/>
      <c r="H9" s="46"/>
      <c r="I9" s="100"/>
      <c r="J9" s="46"/>
      <c r="K9" s="46"/>
      <c r="L9" s="46"/>
    </row>
    <row r="10" spans="1:14" ht="13.8">
      <c r="A10" s="36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>
      <c r="A11" s="16" t="s">
        <v>39</v>
      </c>
      <c r="B11" s="5">
        <f>B6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0">SUM(B11:D11)</f>
        <v>4514.6418553574003</v>
      </c>
      <c r="F11" s="5"/>
      <c r="G11" s="5">
        <f t="shared" ref="G11:G22" si="1">K11-J11</f>
        <v>2071.1409910572002</v>
      </c>
      <c r="H11" s="6">
        <v>832.42700000000002</v>
      </c>
      <c r="I11" s="6">
        <f t="shared" ref="I11:I22" si="2">G11-H11</f>
        <v>1238.7139910572</v>
      </c>
      <c r="J11" s="6">
        <f>(25929.1*2204.622)/1000000</f>
        <v>57.16386430019999</v>
      </c>
      <c r="K11" s="6">
        <f t="shared" ref="K11:K22" si="3">E11-L11</f>
        <v>2128.3048553574004</v>
      </c>
      <c r="L11" s="5">
        <v>2386.337</v>
      </c>
      <c r="N11" s="111"/>
    </row>
    <row r="12" spans="1:14" ht="13.8">
      <c r="A12" s="16" t="s">
        <v>40</v>
      </c>
      <c r="B12" s="5">
        <f t="shared" ref="B12:B22" si="4">L11</f>
        <v>2386.337</v>
      </c>
      <c r="C12" s="6">
        <v>2235.37</v>
      </c>
      <c r="D12" s="6">
        <f>(15479.7*2204.622)/1000000</f>
        <v>34.1268871734</v>
      </c>
      <c r="E12" s="6">
        <f t="shared" si="0"/>
        <v>4655.8338871734004</v>
      </c>
      <c r="F12" s="5"/>
      <c r="G12" s="5">
        <f t="shared" si="1"/>
        <v>2020.5919628710003</v>
      </c>
      <c r="H12" s="6">
        <v>818.01271279999992</v>
      </c>
      <c r="I12" s="6">
        <f t="shared" si="2"/>
        <v>1202.5792500710004</v>
      </c>
      <c r="J12" s="6">
        <f>(103999.2*2204.622)/1000000</f>
        <v>229.27892430239996</v>
      </c>
      <c r="K12" s="6">
        <f t="shared" si="3"/>
        <v>2249.8708871734002</v>
      </c>
      <c r="L12" s="5">
        <v>2405.9630000000002</v>
      </c>
      <c r="N12" s="111"/>
    </row>
    <row r="13" spans="1:14" ht="13.8">
      <c r="A13" s="16" t="s">
        <v>42</v>
      </c>
      <c r="B13" s="5">
        <f t="shared" si="4"/>
        <v>2405.9630000000002</v>
      </c>
      <c r="C13" s="6">
        <v>2324.183</v>
      </c>
      <c r="D13" s="6">
        <f>(14353.5*2204.622)/1000000</f>
        <v>31.644041876999996</v>
      </c>
      <c r="E13" s="6">
        <f t="shared" si="0"/>
        <v>4761.7900418770005</v>
      </c>
      <c r="F13" s="57"/>
      <c r="G13" s="5">
        <f t="shared" si="1"/>
        <v>2130.8006323142004</v>
      </c>
      <c r="H13" s="6">
        <v>938.34100000000001</v>
      </c>
      <c r="I13" s="6">
        <f t="shared" si="2"/>
        <v>1192.4596323142005</v>
      </c>
      <c r="J13" s="6">
        <f>(74887.4*2204.622)/1000000</f>
        <v>165.09840956279999</v>
      </c>
      <c r="K13" s="6">
        <f t="shared" si="3"/>
        <v>2295.8990418770004</v>
      </c>
      <c r="L13" s="5">
        <v>2465.8910000000001</v>
      </c>
      <c r="N13" s="111"/>
    </row>
    <row r="14" spans="1:14" ht="13.8">
      <c r="A14" s="16" t="s">
        <v>43</v>
      </c>
      <c r="B14" s="5">
        <f t="shared" si="4"/>
        <v>2465.8910000000001</v>
      </c>
      <c r="C14" s="6">
        <v>2277.355</v>
      </c>
      <c r="D14" s="6">
        <f>(7352.3*2204.622)/1000000</f>
        <v>16.209042330599999</v>
      </c>
      <c r="E14" s="6">
        <f t="shared" si="0"/>
        <v>4759.4550423306</v>
      </c>
      <c r="F14" s="57"/>
      <c r="G14" s="5">
        <f t="shared" si="1"/>
        <v>1975.1484729870001</v>
      </c>
      <c r="H14" s="6">
        <v>791.38699999999994</v>
      </c>
      <c r="I14" s="6">
        <f t="shared" si="2"/>
        <v>1183.7614729870002</v>
      </c>
      <c r="J14" s="6">
        <f>(128993.8*2204.622)/1000000</f>
        <v>284.38256934359998</v>
      </c>
      <c r="K14" s="6">
        <f t="shared" si="3"/>
        <v>2259.5310423306</v>
      </c>
      <c r="L14" s="5">
        <v>2499.924</v>
      </c>
      <c r="N14" s="111"/>
    </row>
    <row r="15" spans="1:14" ht="13.8">
      <c r="A15" s="16" t="s">
        <v>44</v>
      </c>
      <c r="B15" s="5">
        <f t="shared" si="4"/>
        <v>2499.924</v>
      </c>
      <c r="C15" s="6">
        <v>2064.1990000000001</v>
      </c>
      <c r="D15" s="6">
        <f>(9762.4*2204.622)/1000000</f>
        <v>21.522401812799998</v>
      </c>
      <c r="E15" s="6">
        <f t="shared" si="0"/>
        <v>4585.6454018127997</v>
      </c>
      <c r="F15" s="57"/>
      <c r="G15" s="5">
        <f t="shared" si="1"/>
        <v>1783.8920882499997</v>
      </c>
      <c r="H15" s="6">
        <v>740.60299999999995</v>
      </c>
      <c r="I15" s="6">
        <f t="shared" si="2"/>
        <v>1043.2890882499996</v>
      </c>
      <c r="J15" s="6">
        <f>(106887.4*2204.622)/1000000</f>
        <v>235.64631356279995</v>
      </c>
      <c r="K15" s="6">
        <f t="shared" si="3"/>
        <v>2019.5384018127997</v>
      </c>
      <c r="L15" s="5">
        <v>2566.107</v>
      </c>
      <c r="N15" s="111"/>
    </row>
    <row r="16" spans="1:14" ht="13.8">
      <c r="A16" s="16" t="s">
        <v>46</v>
      </c>
      <c r="B16" s="5">
        <f t="shared" si="4"/>
        <v>2566.107</v>
      </c>
      <c r="C16" s="6">
        <v>2277.5410000000002</v>
      </c>
      <c r="D16" s="6">
        <f>(10063.7*2204.622)/1000000</f>
        <v>22.1866544214</v>
      </c>
      <c r="E16" s="6">
        <f t="shared" ref="E16:E22" si="5">SUM(B16:D16)</f>
        <v>4865.8346544214</v>
      </c>
      <c r="F16" s="57"/>
      <c r="G16" s="5">
        <f t="shared" si="1"/>
        <v>2165.6971246715998</v>
      </c>
      <c r="H16" s="6">
        <v>908.29</v>
      </c>
      <c r="I16" s="6">
        <f t="shared" si="2"/>
        <v>1257.4071246715998</v>
      </c>
      <c r="J16" s="6">
        <f>(120845.9*2204.622)/1000000</f>
        <v>266.41952974979995</v>
      </c>
      <c r="K16" s="6">
        <f t="shared" si="3"/>
        <v>2432.1166544213997</v>
      </c>
      <c r="L16" s="5">
        <v>2433.7180000000003</v>
      </c>
      <c r="N16" s="111"/>
    </row>
    <row r="17" spans="1:14" ht="13.8">
      <c r="A17" s="16" t="s">
        <v>47</v>
      </c>
      <c r="B17" s="5">
        <f t="shared" si="4"/>
        <v>2433.7180000000003</v>
      </c>
      <c r="C17" s="6">
        <v>2143.1179999999999</v>
      </c>
      <c r="D17" s="6">
        <f>(10668.4*2204.622)/1000000</f>
        <v>23.519789344799999</v>
      </c>
      <c r="E17" s="6">
        <f t="shared" si="5"/>
        <v>4600.3557893448005</v>
      </c>
      <c r="F17" s="57"/>
      <c r="G17" s="5">
        <f t="shared" si="1"/>
        <v>2008.0906443672006</v>
      </c>
      <c r="H17" s="6">
        <v>838.9</v>
      </c>
      <c r="I17" s="6">
        <f t="shared" si="2"/>
        <v>1169.1906443672005</v>
      </c>
      <c r="J17" s="6">
        <f>(76240.8*2204.622)/1000000</f>
        <v>168.0821449776</v>
      </c>
      <c r="K17" s="6">
        <f t="shared" si="3"/>
        <v>2176.1727893448005</v>
      </c>
      <c r="L17" s="5">
        <v>2424.183</v>
      </c>
      <c r="N17" s="111"/>
    </row>
    <row r="18" spans="1:14" ht="13.8">
      <c r="A18" s="16" t="s">
        <v>48</v>
      </c>
      <c r="B18" s="5">
        <f t="shared" si="4"/>
        <v>2424.183</v>
      </c>
      <c r="C18" s="6">
        <v>2158.7739999999999</v>
      </c>
      <c r="D18" s="112">
        <f>(11311.9*2204.622)/1000000</f>
        <v>24.938463601799999</v>
      </c>
      <c r="E18" s="6">
        <f t="shared" si="5"/>
        <v>4607.8954636018007</v>
      </c>
      <c r="F18" s="57"/>
      <c r="G18" s="5">
        <f t="shared" si="1"/>
        <v>2149.6321321876007</v>
      </c>
      <c r="H18" s="6">
        <v>855.57100000000003</v>
      </c>
      <c r="I18" s="6">
        <f t="shared" si="2"/>
        <v>1294.0611321876008</v>
      </c>
      <c r="J18" s="112">
        <f>(33516.1*2204.622)/1000000</f>
        <v>73.890331414199991</v>
      </c>
      <c r="K18" s="6">
        <f t="shared" si="3"/>
        <v>2223.5224636018006</v>
      </c>
      <c r="L18" s="5">
        <v>2384.373</v>
      </c>
      <c r="N18" s="111"/>
    </row>
    <row r="19" spans="1:14" ht="13.8">
      <c r="A19" s="16" t="s">
        <v>50</v>
      </c>
      <c r="B19" s="5">
        <f t="shared" si="4"/>
        <v>2384.373</v>
      </c>
      <c r="C19" s="6">
        <v>2068.578</v>
      </c>
      <c r="D19" s="112">
        <f>(10963.3*2204.622)/1000000</f>
        <v>24.169932372599998</v>
      </c>
      <c r="E19" s="6">
        <f t="shared" si="5"/>
        <v>4477.1209323725998</v>
      </c>
      <c r="F19" s="57"/>
      <c r="G19" s="5">
        <f t="shared" si="1"/>
        <v>2088.4572126891999</v>
      </c>
      <c r="H19" s="6">
        <v>809.79899999999998</v>
      </c>
      <c r="I19" s="6">
        <f t="shared" si="2"/>
        <v>1278.6582126891999</v>
      </c>
      <c r="J19" s="112">
        <f>(33184.7*2204.622)/1000000</f>
        <v>73.159719683399985</v>
      </c>
      <c r="K19" s="6">
        <f t="shared" si="3"/>
        <v>2161.6169323725999</v>
      </c>
      <c r="L19" s="5">
        <v>2315.5039999999999</v>
      </c>
    </row>
    <row r="20" spans="1:14" ht="13.8">
      <c r="A20" s="16" t="s">
        <v>51</v>
      </c>
      <c r="B20" s="5">
        <f t="shared" si="4"/>
        <v>2315.5039999999999</v>
      </c>
      <c r="C20" s="6">
        <v>2169.9299999999998</v>
      </c>
      <c r="D20" s="112">
        <f>(11391.7*2204.622)/1000000</f>
        <v>25.114392437399999</v>
      </c>
      <c r="E20" s="6">
        <f t="shared" si="5"/>
        <v>4510.5483924373993</v>
      </c>
      <c r="F20" s="57"/>
      <c r="G20" s="5">
        <f t="shared" si="1"/>
        <v>2125.6014242047995</v>
      </c>
      <c r="H20" s="6">
        <v>956.48800000000006</v>
      </c>
      <c r="I20" s="6">
        <f t="shared" si="2"/>
        <v>1169.1134242047995</v>
      </c>
      <c r="J20" s="112">
        <f>(53593.3*2204.622)/1000000</f>
        <v>118.1529682326</v>
      </c>
      <c r="K20" s="6">
        <f t="shared" si="3"/>
        <v>2243.7543924373995</v>
      </c>
      <c r="L20" s="5">
        <v>2266.7939999999999</v>
      </c>
    </row>
    <row r="21" spans="1:14" ht="13.8">
      <c r="A21" s="16" t="s">
        <v>52</v>
      </c>
      <c r="B21" s="5">
        <f t="shared" si="4"/>
        <v>2266.7939999999999</v>
      </c>
      <c r="C21" s="6">
        <v>2095.5810000000001</v>
      </c>
      <c r="D21" s="112">
        <f>(9641.3*2204.622)/1000000</f>
        <v>21.2554220886</v>
      </c>
      <c r="E21" s="6">
        <f t="shared" si="5"/>
        <v>4383.6304220886004</v>
      </c>
      <c r="F21" s="57"/>
      <c r="G21" s="5">
        <f t="shared" si="1"/>
        <v>2222.8252080034008</v>
      </c>
      <c r="H21" s="6">
        <v>924.71799999999996</v>
      </c>
      <c r="I21" s="6">
        <f t="shared" si="2"/>
        <v>1298.107208003401</v>
      </c>
      <c r="J21" s="112">
        <f>(25896.6*2204.622)/1000000</f>
        <v>57.092214085199991</v>
      </c>
      <c r="K21" s="6">
        <f t="shared" si="3"/>
        <v>2279.9174220886007</v>
      </c>
      <c r="L21" s="5">
        <v>2103.7129999999997</v>
      </c>
    </row>
    <row r="22" spans="1:14" ht="13.8">
      <c r="A22" s="16" t="s">
        <v>38</v>
      </c>
      <c r="B22" s="5">
        <f t="shared" si="4"/>
        <v>2103.7129999999997</v>
      </c>
      <c r="C22" s="6">
        <v>1992.9639999999999</v>
      </c>
      <c r="D22" s="112">
        <f>(10329.4*2204.622)/1000000</f>
        <v>22.772422486799996</v>
      </c>
      <c r="E22" s="6">
        <f t="shared" si="5"/>
        <v>4119.4494224867994</v>
      </c>
      <c r="F22" s="57"/>
      <c r="G22" s="5">
        <f t="shared" si="1"/>
        <v>2083.2250596881995</v>
      </c>
      <c r="H22" s="6">
        <v>933.65499999999997</v>
      </c>
      <c r="I22" s="6">
        <f t="shared" si="2"/>
        <v>1149.5700596881995</v>
      </c>
      <c r="J22" s="112">
        <f>(20446.3*2204.622)/1000000</f>
        <v>45.076362798599995</v>
      </c>
      <c r="K22" s="6">
        <f t="shared" si="3"/>
        <v>2128.3014224867993</v>
      </c>
      <c r="L22" s="5">
        <v>1991.1480000000001</v>
      </c>
    </row>
    <row r="23" spans="1:14" ht="13.8">
      <c r="A23" s="16" t="s">
        <v>28</v>
      </c>
      <c r="B23" s="5"/>
      <c r="C23" s="6">
        <f>SUM(C11:C22)</f>
        <v>26155.173000000003</v>
      </c>
      <c r="D23" s="6">
        <f>(137569.3*2204.622)/1000000</f>
        <v>303.28830530459993</v>
      </c>
      <c r="E23" s="6">
        <f>B11+C23+D23</f>
        <v>28589.694305304602</v>
      </c>
      <c r="F23" s="5"/>
      <c r="G23" s="5">
        <f>SUM(G11:G22)</f>
        <v>24825.102953291404</v>
      </c>
      <c r="H23" s="6">
        <f>SUM(H11:H22)</f>
        <v>10348.1917128</v>
      </c>
      <c r="I23" s="6">
        <f>SUM(I11:I22)</f>
        <v>14476.911240491401</v>
      </c>
      <c r="J23" s="6">
        <f>(804420.5*2204.622)/1000000</f>
        <v>1773.4431315509999</v>
      </c>
      <c r="K23" s="5">
        <f>SUM(K11:K22)</f>
        <v>26598.546305304601</v>
      </c>
      <c r="L23" s="5"/>
    </row>
    <row r="24" spans="1:14" ht="13.8">
      <c r="A24" s="16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3.8">
      <c r="A25" s="36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3.8">
      <c r="A26" s="16" t="s">
        <v>39</v>
      </c>
      <c r="B26" s="5">
        <f>L22</f>
        <v>1991.1480000000001</v>
      </c>
      <c r="C26" s="6">
        <v>2338.085</v>
      </c>
      <c r="D26" s="6">
        <f>(13492.7*2204.622)/1000000</f>
        <v>29.746303259399998</v>
      </c>
      <c r="E26" s="6">
        <f t="shared" ref="E26:E32" si="6">SUM(B26:D26)</f>
        <v>4358.9793032593998</v>
      </c>
      <c r="F26" s="5"/>
      <c r="G26" s="5">
        <f t="shared" ref="G26:G32" si="7">K26-J26</f>
        <v>2242.2710449107999</v>
      </c>
      <c r="H26" s="6">
        <v>906.40899999999999</v>
      </c>
      <c r="I26" s="6">
        <f t="shared" ref="I26:I31" si="8">G26-H26</f>
        <v>1335.8620449107998</v>
      </c>
      <c r="J26" s="6">
        <f>(10471.3*2204.622)/1000000</f>
        <v>23.085258348599996</v>
      </c>
      <c r="K26" s="6">
        <f t="shared" ref="K26:K32" si="9">E26-L26</f>
        <v>2265.3563032593997</v>
      </c>
      <c r="L26" s="5">
        <v>2093.623</v>
      </c>
    </row>
    <row r="27" spans="1:14" ht="13.8">
      <c r="A27" s="16" t="s">
        <v>40</v>
      </c>
      <c r="B27" s="5">
        <f t="shared" ref="B27:B32" si="10">L26</f>
        <v>2093.623</v>
      </c>
      <c r="C27" s="6">
        <v>2199.962</v>
      </c>
      <c r="D27" s="6">
        <f>(11744.6*2204.622)/1000000</f>
        <v>25.8924035412</v>
      </c>
      <c r="E27" s="6">
        <f t="shared" si="6"/>
        <v>4319.4774035412001</v>
      </c>
      <c r="F27" s="5"/>
      <c r="G27" s="5">
        <f t="shared" si="7"/>
        <v>2183.7515713444004</v>
      </c>
      <c r="H27" s="6">
        <v>943.34192259999998</v>
      </c>
      <c r="I27" s="6">
        <f t="shared" si="8"/>
        <v>1240.4096487444003</v>
      </c>
      <c r="J27" s="6">
        <f>(10634.4*2204.622)/1000000</f>
        <v>23.444832196799997</v>
      </c>
      <c r="K27" s="6">
        <f t="shared" si="9"/>
        <v>2207.1964035412002</v>
      </c>
      <c r="L27" s="5">
        <v>2112.2809999999999</v>
      </c>
    </row>
    <row r="28" spans="1:14" ht="13.8">
      <c r="A28" s="16" t="s">
        <v>42</v>
      </c>
      <c r="B28" s="5">
        <f t="shared" si="10"/>
        <v>2112.2809999999999</v>
      </c>
      <c r="C28" s="6">
        <v>2195.3580000000002</v>
      </c>
      <c r="D28" s="6">
        <f>(10252.4*2204.622)/1000000</f>
        <v>22.602666592799999</v>
      </c>
      <c r="E28" s="6">
        <f t="shared" si="6"/>
        <v>4330.2416665928004</v>
      </c>
      <c r="F28" s="5"/>
      <c r="G28" s="5">
        <f t="shared" si="7"/>
        <v>1989.4369064418004</v>
      </c>
      <c r="H28" s="6">
        <v>885.4429075999999</v>
      </c>
      <c r="I28" s="6">
        <f t="shared" si="8"/>
        <v>1103.9939988418005</v>
      </c>
      <c r="J28" s="6">
        <f>(15720.5*2204.622)/1000000</f>
        <v>34.657760150999998</v>
      </c>
      <c r="K28" s="6">
        <f t="shared" si="9"/>
        <v>2024.0946665928004</v>
      </c>
      <c r="L28" s="5">
        <v>2306.1469999999999</v>
      </c>
    </row>
    <row r="29" spans="1:14" ht="13.8">
      <c r="A29" s="16" t="s">
        <v>43</v>
      </c>
      <c r="B29" s="5">
        <f t="shared" si="10"/>
        <v>2306.1469999999999</v>
      </c>
      <c r="C29" s="6">
        <v>2252.3119999999999</v>
      </c>
      <c r="D29" s="6">
        <f>(11450.2*2204.622)/1000000</f>
        <v>25.243362824400002</v>
      </c>
      <c r="E29" s="6">
        <f t="shared" si="6"/>
        <v>4583.7023628243996</v>
      </c>
      <c r="F29" s="5"/>
      <c r="G29" s="5">
        <f t="shared" si="7"/>
        <v>2211.8930392041998</v>
      </c>
      <c r="H29" s="6">
        <v>940.87400000000002</v>
      </c>
      <c r="I29" s="6">
        <f t="shared" si="8"/>
        <v>1271.0190392041998</v>
      </c>
      <c r="J29" s="6">
        <f>(6989.1*2204.622)/1000000</f>
        <v>15.408323620199999</v>
      </c>
      <c r="K29" s="6">
        <f t="shared" si="9"/>
        <v>2227.3013628243998</v>
      </c>
      <c r="L29" s="5">
        <v>2356.4009999999998</v>
      </c>
    </row>
    <row r="30" spans="1:14" ht="13.8">
      <c r="A30" s="16" t="s">
        <v>44</v>
      </c>
      <c r="B30" s="5">
        <f t="shared" si="10"/>
        <v>2356.4009999999998</v>
      </c>
      <c r="C30" s="6">
        <v>2091.2179999999998</v>
      </c>
      <c r="D30" s="6">
        <f>(15213.2*2204.622)/1000000</f>
        <v>33.539355410399999</v>
      </c>
      <c r="E30" s="6">
        <f t="shared" si="6"/>
        <v>4481.1583554104</v>
      </c>
      <c r="F30" s="5"/>
      <c r="G30" s="5">
        <f t="shared" si="7"/>
        <v>2091.4034745958002</v>
      </c>
      <c r="H30" s="6">
        <v>909.98699999999997</v>
      </c>
      <c r="I30" s="6">
        <f t="shared" si="8"/>
        <v>1181.4164745958001</v>
      </c>
      <c r="J30" s="6">
        <f>(11774.3*2204.622)/1000000</f>
        <v>25.957880814599999</v>
      </c>
      <c r="K30" s="6">
        <f t="shared" si="9"/>
        <v>2117.3613554103999</v>
      </c>
      <c r="L30" s="5">
        <v>2363.797</v>
      </c>
    </row>
    <row r="31" spans="1:14" ht="13.8">
      <c r="A31" s="16" t="s">
        <v>46</v>
      </c>
      <c r="B31" s="5">
        <f t="shared" si="10"/>
        <v>2363.797</v>
      </c>
      <c r="C31" s="6">
        <v>2339.5810000000001</v>
      </c>
      <c r="D31" s="6">
        <f>(15180.8*2204.622)/1000000</f>
        <v>33.467925657599999</v>
      </c>
      <c r="E31" s="6">
        <f t="shared" si="6"/>
        <v>4736.8459256576007</v>
      </c>
      <c r="F31" s="5"/>
      <c r="G31" s="5">
        <f t="shared" si="7"/>
        <v>2336.5298038548008</v>
      </c>
      <c r="H31" s="6">
        <v>952.70299999999997</v>
      </c>
      <c r="I31" s="6">
        <f t="shared" si="8"/>
        <v>1383.8268038548008</v>
      </c>
      <c r="J31" s="6">
        <f>(5807.4*2204.622)/1000000</f>
        <v>12.803121802799998</v>
      </c>
      <c r="K31" s="6">
        <f t="shared" si="9"/>
        <v>2349.3329256576008</v>
      </c>
      <c r="L31" s="5">
        <v>2387.5129999999999</v>
      </c>
    </row>
    <row r="32" spans="1:14" ht="13.8">
      <c r="A32" s="15" t="s">
        <v>47</v>
      </c>
      <c r="B32" s="53">
        <f t="shared" si="10"/>
        <v>2387.5129999999999</v>
      </c>
      <c r="C32" s="41">
        <v>2236.3009999999999</v>
      </c>
      <c r="D32" s="41">
        <f>(15750.7*2204.622)/1000000</f>
        <v>34.724339735400001</v>
      </c>
      <c r="E32" s="41">
        <f t="shared" si="6"/>
        <v>4658.5383397353999</v>
      </c>
      <c r="F32" s="53"/>
      <c r="G32" s="53">
        <f t="shared" si="7"/>
        <v>2058.2364235171999</v>
      </c>
      <c r="H32" s="41" t="s">
        <v>75</v>
      </c>
      <c r="I32" s="41" t="s">
        <v>75</v>
      </c>
      <c r="J32" s="41">
        <f>(27498.1*2204.622)/1000000</f>
        <v>60.62291621819999</v>
      </c>
      <c r="K32" s="41">
        <f t="shared" si="9"/>
        <v>2118.8593397353998</v>
      </c>
      <c r="L32" s="53">
        <v>2539.6790000000001</v>
      </c>
    </row>
    <row r="33" spans="1:12" ht="16.2">
      <c r="A33" s="49" t="s">
        <v>76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4.4">
      <c r="A34" s="16" t="s">
        <v>68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3.8">
      <c r="A35" s="21" t="s">
        <v>56</v>
      </c>
      <c r="B35" s="43">
        <f>Contents!A16</f>
        <v>45090</v>
      </c>
      <c r="K35" s="40"/>
    </row>
    <row r="36" spans="1:12">
      <c r="E36" s="40"/>
    </row>
  </sheetData>
  <mergeCells count="3">
    <mergeCell ref="B5:L5"/>
    <mergeCell ref="G2:I2"/>
    <mergeCell ref="B2:E2"/>
  </mergeCells>
  <phoneticPr fontId="29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09375" defaultRowHeight="13.2"/>
  <cols>
    <col min="1" max="1" width="15.33203125" customWidth="1"/>
    <col min="2" max="2" width="13.109375" customWidth="1"/>
    <col min="3" max="3" width="12.109375" customWidth="1"/>
    <col min="4" max="4" width="13.44140625" customWidth="1"/>
    <col min="5" max="5" width="15.33203125" customWidth="1"/>
    <col min="6" max="6" width="11.44140625" customWidth="1"/>
    <col min="7" max="7" width="11.6640625" customWidth="1"/>
    <col min="8" max="8" width="8.6640625" customWidth="1"/>
    <col min="9" max="9" width="9.6640625" customWidth="1"/>
    <col min="10" max="11" width="7.6640625" customWidth="1"/>
    <col min="12" max="12" width="8.5546875" customWidth="1"/>
    <col min="13" max="13" width="9.5546875" customWidth="1"/>
    <col min="14" max="15" width="7.5546875" customWidth="1"/>
    <col min="19" max="19" width="17.44140625" bestFit="1" customWidth="1"/>
    <col min="21" max="21" width="28.33203125" bestFit="1" customWidth="1"/>
  </cols>
  <sheetData>
    <row r="1" spans="1:15" ht="13.8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</row>
    <row r="2" spans="1:15" ht="13.8">
      <c r="A2" s="16"/>
      <c r="B2" s="163" t="s">
        <v>57</v>
      </c>
      <c r="C2" s="163"/>
      <c r="D2" s="163"/>
      <c r="E2" s="163"/>
      <c r="F2" s="82"/>
      <c r="G2" s="163" t="s">
        <v>58</v>
      </c>
      <c r="H2" s="163"/>
      <c r="I2" s="163"/>
      <c r="J2" s="163"/>
      <c r="K2" s="82"/>
      <c r="L2" s="16"/>
      <c r="M2" s="16"/>
      <c r="N2" s="16"/>
      <c r="O2" s="16"/>
    </row>
    <row r="3" spans="1:15" ht="13.8">
      <c r="A3" s="16" t="s">
        <v>17</v>
      </c>
      <c r="B3" s="21" t="s">
        <v>69</v>
      </c>
      <c r="C3" s="21"/>
      <c r="D3" s="21"/>
      <c r="E3" s="21"/>
      <c r="F3" s="21"/>
      <c r="G3" s="21"/>
      <c r="H3" s="21"/>
      <c r="I3" s="21"/>
      <c r="J3" s="21"/>
      <c r="K3" s="18" t="s">
        <v>59</v>
      </c>
      <c r="L3" s="16"/>
      <c r="M3" s="16"/>
      <c r="N3" s="16"/>
      <c r="O3" s="16"/>
    </row>
    <row r="4" spans="1:15" ht="13.8">
      <c r="A4" s="22" t="s">
        <v>77</v>
      </c>
      <c r="B4" s="24" t="s">
        <v>78</v>
      </c>
      <c r="C4" s="66" t="s">
        <v>26</v>
      </c>
      <c r="D4" s="26" t="s">
        <v>70</v>
      </c>
      <c r="E4" s="24" t="s">
        <v>79</v>
      </c>
      <c r="F4" s="25"/>
      <c r="G4" s="24" t="s">
        <v>80</v>
      </c>
      <c r="H4" s="24" t="s">
        <v>30</v>
      </c>
      <c r="I4" s="24" t="s">
        <v>81</v>
      </c>
      <c r="J4" s="24" t="s">
        <v>82</v>
      </c>
      <c r="K4" s="24" t="s">
        <v>61</v>
      </c>
      <c r="L4" s="16"/>
      <c r="M4" s="16"/>
      <c r="N4" s="16"/>
      <c r="O4" s="16"/>
    </row>
    <row r="5" spans="1:15" ht="14.4">
      <c r="A5" s="16"/>
      <c r="B5" s="166" t="s">
        <v>83</v>
      </c>
      <c r="C5" s="166"/>
      <c r="D5" s="166"/>
      <c r="E5" s="166"/>
      <c r="F5" s="166"/>
      <c r="G5" s="166"/>
      <c r="H5" s="166"/>
      <c r="I5" s="166"/>
      <c r="J5" s="166"/>
      <c r="K5" s="166"/>
      <c r="L5" s="16"/>
      <c r="M5" s="16"/>
      <c r="N5" s="16"/>
      <c r="O5" s="16"/>
    </row>
    <row r="6" spans="1:15" ht="13.8">
      <c r="A6" s="16" t="s">
        <v>37</v>
      </c>
      <c r="B6" s="84">
        <v>395.64255294480427</v>
      </c>
      <c r="C6" s="84">
        <v>5323</v>
      </c>
      <c r="D6" s="85">
        <v>24.765738432900992</v>
      </c>
      <c r="E6" s="84">
        <f>B6+C6+D6</f>
        <v>5743.4082913777056</v>
      </c>
      <c r="F6" s="86"/>
      <c r="G6" s="84">
        <v>1556.9839999999999</v>
      </c>
      <c r="H6" s="87">
        <v>297.69790855776995</v>
      </c>
      <c r="I6" s="84">
        <f>J6-G6-H6</f>
        <v>3493.8003828199353</v>
      </c>
      <c r="J6" s="84">
        <f>E6-K6</f>
        <v>5348.4822913777052</v>
      </c>
      <c r="K6" s="84">
        <v>394.92599999999999</v>
      </c>
      <c r="L6" s="16"/>
      <c r="M6" s="16"/>
      <c r="N6" s="16"/>
      <c r="O6" s="16"/>
    </row>
    <row r="7" spans="1:15" ht="16.2">
      <c r="A7" s="16" t="s">
        <v>156</v>
      </c>
      <c r="B7" s="84">
        <f>K6</f>
        <v>394.92599999999999</v>
      </c>
      <c r="C7" s="84">
        <v>4415</v>
      </c>
      <c r="D7" s="85">
        <v>100</v>
      </c>
      <c r="E7" s="84">
        <f>B7+C7+D7</f>
        <v>4909.9260000000004</v>
      </c>
      <c r="F7" s="86"/>
      <c r="G7" s="84">
        <v>1500</v>
      </c>
      <c r="H7" s="87">
        <v>170</v>
      </c>
      <c r="I7" s="84">
        <f>J7-G7-H7</f>
        <v>2851.9260000000004</v>
      </c>
      <c r="J7" s="84">
        <f>E7-K7</f>
        <v>4521.9260000000004</v>
      </c>
      <c r="K7" s="84">
        <v>388</v>
      </c>
      <c r="L7" s="16"/>
      <c r="M7" s="16"/>
      <c r="N7" s="16"/>
      <c r="O7" s="16"/>
    </row>
    <row r="8" spans="1:15" ht="16.2">
      <c r="A8" s="15" t="s">
        <v>155</v>
      </c>
      <c r="B8" s="88">
        <f>K7</f>
        <v>388</v>
      </c>
      <c r="C8" s="88">
        <v>5225</v>
      </c>
      <c r="D8" s="89">
        <v>25</v>
      </c>
      <c r="E8" s="88">
        <f>B8+C8+D8</f>
        <v>5638</v>
      </c>
      <c r="F8" s="90"/>
      <c r="G8" s="88">
        <v>1550</v>
      </c>
      <c r="H8" s="91">
        <v>300</v>
      </c>
      <c r="I8" s="88">
        <f>J8-G8-H8</f>
        <v>3353</v>
      </c>
      <c r="J8" s="88">
        <f>E8-K8</f>
        <v>5203</v>
      </c>
      <c r="K8" s="88">
        <v>435</v>
      </c>
      <c r="L8" s="16"/>
      <c r="M8" s="16"/>
      <c r="N8" s="16"/>
      <c r="O8" s="16"/>
    </row>
    <row r="9" spans="1:15" ht="16.2">
      <c r="A9" s="49" t="s">
        <v>84</v>
      </c>
      <c r="B9" s="16"/>
      <c r="C9" s="83"/>
      <c r="D9" s="83"/>
      <c r="E9" s="83"/>
      <c r="F9" s="83"/>
      <c r="G9" s="92"/>
      <c r="H9" s="83"/>
      <c r="I9" s="83"/>
      <c r="J9" s="83"/>
      <c r="K9" s="16"/>
      <c r="L9" s="16"/>
      <c r="M9" s="16"/>
      <c r="N9" s="16"/>
      <c r="O9" s="16"/>
    </row>
    <row r="10" spans="1:15" ht="14.4">
      <c r="A10" s="16" t="s">
        <v>151</v>
      </c>
      <c r="B10" s="34"/>
      <c r="C10" s="39"/>
      <c r="D10" s="16"/>
      <c r="E10" s="34"/>
      <c r="F10" s="34"/>
      <c r="G10" s="34"/>
      <c r="H10" s="34"/>
      <c r="I10" s="34"/>
      <c r="J10" s="34"/>
      <c r="K10" s="16"/>
      <c r="L10" s="16"/>
      <c r="M10" s="16"/>
      <c r="N10" s="16"/>
      <c r="O10" s="16"/>
    </row>
    <row r="11" spans="1:15" ht="14.4">
      <c r="A11" s="16" t="s">
        <v>85</v>
      </c>
      <c r="B11" s="34"/>
      <c r="C11" s="39"/>
      <c r="D11" s="16"/>
      <c r="E11" s="34"/>
      <c r="F11" s="34"/>
      <c r="G11" s="34"/>
      <c r="H11" s="34"/>
      <c r="I11" s="34"/>
      <c r="J11" s="34"/>
      <c r="K11" s="16"/>
      <c r="L11" s="16"/>
      <c r="M11" s="16"/>
      <c r="N11" s="16"/>
      <c r="O11" s="16"/>
    </row>
    <row r="12" spans="1:15" ht="13.8">
      <c r="A12" s="16"/>
      <c r="B12" s="34"/>
      <c r="C12" s="39"/>
      <c r="D12" s="16"/>
      <c r="E12" s="34"/>
      <c r="F12" s="34"/>
      <c r="G12" s="34"/>
      <c r="H12" s="34"/>
      <c r="I12" s="34"/>
      <c r="J12" s="34"/>
      <c r="K12" s="16"/>
      <c r="L12" s="16"/>
      <c r="M12" s="16"/>
      <c r="N12" s="16"/>
      <c r="O12" s="16"/>
    </row>
    <row r="13" spans="1:15" ht="13.8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3.8">
      <c r="A14" s="15" t="s">
        <v>5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  <c r="L14" s="16"/>
      <c r="M14" s="16"/>
      <c r="N14" s="16"/>
      <c r="O14" s="16"/>
    </row>
    <row r="15" spans="1:15" ht="13.8">
      <c r="A15" s="16"/>
      <c r="B15" s="163" t="s">
        <v>57</v>
      </c>
      <c r="C15" s="163"/>
      <c r="D15" s="163"/>
      <c r="E15" s="163"/>
      <c r="F15" s="16"/>
      <c r="G15" s="163" t="s">
        <v>58</v>
      </c>
      <c r="H15" s="163"/>
      <c r="I15" s="163"/>
      <c r="J15" s="16"/>
      <c r="K15" s="16"/>
      <c r="L15" s="16"/>
      <c r="M15" s="16"/>
      <c r="N15" s="16"/>
      <c r="O15" s="16"/>
    </row>
    <row r="16" spans="1:15" ht="13.8">
      <c r="A16" s="16" t="s">
        <v>17</v>
      </c>
      <c r="B16" s="18" t="s">
        <v>69</v>
      </c>
      <c r="C16" s="21"/>
      <c r="D16" s="21"/>
      <c r="E16" s="21"/>
      <c r="F16" s="21"/>
      <c r="G16" s="21"/>
      <c r="H16" s="21"/>
      <c r="I16" s="21"/>
      <c r="J16" s="18" t="s">
        <v>59</v>
      </c>
      <c r="K16" s="16"/>
      <c r="L16" s="16"/>
      <c r="M16" s="16"/>
      <c r="N16" s="16"/>
      <c r="O16" s="16"/>
    </row>
    <row r="17" spans="1:15" ht="13.8">
      <c r="A17" s="22" t="s">
        <v>60</v>
      </c>
      <c r="B17" s="24" t="s">
        <v>61</v>
      </c>
      <c r="C17" s="66" t="s">
        <v>26</v>
      </c>
      <c r="D17" s="26" t="s">
        <v>70</v>
      </c>
      <c r="E17" s="24" t="s">
        <v>82</v>
      </c>
      <c r="F17" s="25"/>
      <c r="G17" s="84" t="s">
        <v>86</v>
      </c>
      <c r="H17" s="24" t="s">
        <v>30</v>
      </c>
      <c r="I17" s="26" t="s">
        <v>62</v>
      </c>
      <c r="J17" s="24" t="s">
        <v>61</v>
      </c>
      <c r="K17" s="16"/>
      <c r="L17" s="16"/>
      <c r="M17" s="16"/>
      <c r="N17" s="16"/>
      <c r="O17" s="16"/>
    </row>
    <row r="18" spans="1:15" ht="14.4">
      <c r="A18" s="16"/>
      <c r="B18" s="166" t="s">
        <v>87</v>
      </c>
      <c r="C18" s="166"/>
      <c r="D18" s="166"/>
      <c r="E18" s="166"/>
      <c r="F18" s="166"/>
      <c r="G18" s="166"/>
      <c r="H18" s="166"/>
      <c r="I18" s="166"/>
      <c r="J18" s="166"/>
      <c r="K18" s="16"/>
      <c r="L18" s="16"/>
      <c r="M18" s="16"/>
      <c r="N18" s="16"/>
      <c r="O18" s="16"/>
    </row>
    <row r="19" spans="1:15" ht="13.8">
      <c r="A19" s="16" t="s">
        <v>37</v>
      </c>
      <c r="B19" s="84">
        <v>39.305999999999997</v>
      </c>
      <c r="C19" s="87">
        <v>695</v>
      </c>
      <c r="D19" s="116">
        <v>0.10141264051999997</v>
      </c>
      <c r="E19" s="87">
        <f>B19+C19+D19</f>
        <v>734.40741264052008</v>
      </c>
      <c r="F19" s="86"/>
      <c r="G19" s="87">
        <f>E19-J19-H19</f>
        <v>658.743182863843</v>
      </c>
      <c r="H19" s="87">
        <v>53.348229776676988</v>
      </c>
      <c r="I19" s="87">
        <f>SUM(G19:H19)</f>
        <v>712.09141264052005</v>
      </c>
      <c r="J19" s="84">
        <v>22.315999999999999</v>
      </c>
      <c r="K19" s="16"/>
      <c r="L19" s="16"/>
      <c r="M19" s="16"/>
      <c r="N19" s="16"/>
      <c r="O19" s="16"/>
    </row>
    <row r="20" spans="1:15" ht="16.2">
      <c r="A20" s="16" t="s">
        <v>156</v>
      </c>
      <c r="B20" s="84">
        <f>J19</f>
        <v>22.315999999999999</v>
      </c>
      <c r="C20" s="87">
        <v>630</v>
      </c>
      <c r="D20" s="85">
        <v>0</v>
      </c>
      <c r="E20" s="87">
        <f>B20+C20+D20</f>
        <v>652.31600000000003</v>
      </c>
      <c r="F20" s="86"/>
      <c r="G20" s="87">
        <f>E20-J20-H20</f>
        <v>552.31600000000003</v>
      </c>
      <c r="H20" s="87">
        <v>60</v>
      </c>
      <c r="I20" s="87">
        <f>SUM(G20:H20)</f>
        <v>612.31600000000003</v>
      </c>
      <c r="J20" s="84">
        <v>40</v>
      </c>
      <c r="K20" s="16"/>
      <c r="L20" s="16"/>
      <c r="M20" s="16"/>
      <c r="N20" s="16"/>
      <c r="O20" s="16"/>
    </row>
    <row r="21" spans="1:15" ht="16.2">
      <c r="A21" s="15" t="s">
        <v>155</v>
      </c>
      <c r="B21" s="88">
        <f>J20</f>
        <v>40</v>
      </c>
      <c r="C21" s="91">
        <v>700</v>
      </c>
      <c r="D21" s="89">
        <v>0</v>
      </c>
      <c r="E21" s="91">
        <f>B21+C21+D21</f>
        <v>740</v>
      </c>
      <c r="F21" s="90"/>
      <c r="G21" s="91">
        <f>E21-J21-H21</f>
        <v>620</v>
      </c>
      <c r="H21" s="91">
        <v>80</v>
      </c>
      <c r="I21" s="91">
        <f>SUM(G21:H21)</f>
        <v>700</v>
      </c>
      <c r="J21" s="88">
        <v>40</v>
      </c>
      <c r="K21" s="16"/>
      <c r="L21" s="16"/>
      <c r="M21" s="16"/>
      <c r="N21" s="16"/>
      <c r="O21" s="16"/>
    </row>
    <row r="22" spans="1:15" ht="16.2">
      <c r="A22" s="49" t="s">
        <v>84</v>
      </c>
      <c r="B22" s="16"/>
      <c r="C22" s="83"/>
      <c r="D22" s="83"/>
      <c r="E22" s="83"/>
      <c r="F22" s="83"/>
      <c r="G22" s="83"/>
      <c r="H22" s="83"/>
      <c r="I22" s="16"/>
      <c r="J22" s="16"/>
      <c r="K22" s="16"/>
      <c r="L22" s="16"/>
      <c r="M22" s="16"/>
      <c r="N22" s="16"/>
      <c r="O22" s="16"/>
    </row>
    <row r="23" spans="1:15" ht="14.4">
      <c r="A23" s="16" t="s">
        <v>88</v>
      </c>
      <c r="B23" s="86"/>
      <c r="C23" s="86"/>
      <c r="D23" s="86"/>
      <c r="E23" s="86"/>
      <c r="F23" s="86"/>
      <c r="G23" s="86"/>
      <c r="H23" s="86"/>
      <c r="I23" s="16"/>
      <c r="J23" s="16"/>
      <c r="K23" s="16"/>
      <c r="L23" s="16"/>
      <c r="M23" s="16"/>
      <c r="N23" s="16"/>
      <c r="O23" s="16"/>
    </row>
    <row r="24" spans="1:15" ht="13.8">
      <c r="A24" s="16"/>
      <c r="B24" s="34"/>
      <c r="C24" s="34"/>
      <c r="D24" s="34"/>
      <c r="E24" s="34"/>
      <c r="F24" s="34"/>
      <c r="G24" s="34"/>
      <c r="H24" s="34"/>
      <c r="I24" s="16"/>
      <c r="J24" s="16"/>
      <c r="K24" s="16"/>
      <c r="L24" s="16"/>
      <c r="M24" s="16"/>
      <c r="N24" s="16"/>
      <c r="O24" s="16"/>
    </row>
    <row r="25" spans="1:15" ht="13.8">
      <c r="A25" s="16"/>
      <c r="B25" s="34"/>
      <c r="C25" s="39"/>
      <c r="D25" s="34"/>
      <c r="E25" s="34"/>
      <c r="F25" s="34"/>
      <c r="G25" s="34"/>
      <c r="H25" s="34"/>
      <c r="I25" s="16"/>
      <c r="J25" s="16"/>
      <c r="K25" s="16"/>
      <c r="L25" s="16"/>
      <c r="M25" s="16"/>
      <c r="N25" s="16"/>
      <c r="O25" s="16"/>
    </row>
    <row r="26" spans="1:15" ht="13.8">
      <c r="A26" s="15" t="s">
        <v>6</v>
      </c>
      <c r="B26" s="15"/>
      <c r="C26" s="15"/>
      <c r="D26" s="15"/>
      <c r="E26" s="15"/>
      <c r="F26" s="15"/>
      <c r="G26" s="15"/>
      <c r="H26" s="15"/>
      <c r="I26" s="16"/>
      <c r="J26" s="15"/>
      <c r="K26" s="16"/>
      <c r="L26" s="16"/>
      <c r="M26" s="16"/>
      <c r="N26" s="16"/>
      <c r="O26" s="16"/>
    </row>
    <row r="27" spans="1:15" ht="13.8">
      <c r="A27" s="16"/>
      <c r="B27" s="163" t="s">
        <v>57</v>
      </c>
      <c r="C27" s="163"/>
      <c r="D27" s="163"/>
      <c r="E27" s="163"/>
      <c r="F27" s="16"/>
      <c r="G27" s="163" t="s">
        <v>58</v>
      </c>
      <c r="H27" s="163"/>
      <c r="I27" s="163"/>
      <c r="J27" s="16"/>
      <c r="K27" s="16"/>
      <c r="L27" s="16"/>
      <c r="M27" s="16"/>
      <c r="N27" s="16"/>
      <c r="O27" s="16"/>
    </row>
    <row r="28" spans="1:15" ht="13.8">
      <c r="A28" s="16" t="s">
        <v>17</v>
      </c>
      <c r="B28" s="18" t="s">
        <v>69</v>
      </c>
      <c r="C28" s="21"/>
      <c r="D28" s="21"/>
      <c r="E28" s="21"/>
      <c r="F28" s="21"/>
      <c r="G28" s="21"/>
      <c r="H28" s="21"/>
      <c r="I28" s="21"/>
      <c r="J28" s="18" t="s">
        <v>59</v>
      </c>
      <c r="K28" s="16"/>
      <c r="L28" s="16"/>
      <c r="M28" s="16"/>
      <c r="N28" s="16"/>
      <c r="O28" s="16"/>
    </row>
    <row r="29" spans="1:15" ht="13.8">
      <c r="A29" s="22" t="s">
        <v>60</v>
      </c>
      <c r="B29" s="24" t="s">
        <v>61</v>
      </c>
      <c r="C29" s="24" t="s">
        <v>26</v>
      </c>
      <c r="D29" s="26" t="s">
        <v>70</v>
      </c>
      <c r="E29" s="24" t="s">
        <v>82</v>
      </c>
      <c r="F29" s="25"/>
      <c r="G29" s="24" t="s">
        <v>63</v>
      </c>
      <c r="H29" s="24" t="s">
        <v>30</v>
      </c>
      <c r="I29" s="24" t="s">
        <v>62</v>
      </c>
      <c r="J29" s="24" t="s">
        <v>65</v>
      </c>
      <c r="K29" s="16"/>
      <c r="L29" s="16"/>
      <c r="M29" s="16"/>
      <c r="N29" s="16"/>
      <c r="O29" s="16"/>
    </row>
    <row r="30" spans="1:15" ht="14.4">
      <c r="A30" s="16"/>
      <c r="B30" s="166" t="s">
        <v>74</v>
      </c>
      <c r="C30" s="166"/>
      <c r="D30" s="166"/>
      <c r="E30" s="166"/>
      <c r="F30" s="166"/>
      <c r="G30" s="166"/>
      <c r="H30" s="166"/>
      <c r="I30" s="166"/>
      <c r="J30" s="166"/>
      <c r="K30" s="16"/>
      <c r="L30" s="16"/>
      <c r="M30" s="16"/>
      <c r="N30" s="16"/>
      <c r="O30" s="16"/>
    </row>
    <row r="31" spans="1:15" ht="13.8">
      <c r="A31" s="16" t="s">
        <v>37</v>
      </c>
      <c r="B31" s="85">
        <v>48.207999999999998</v>
      </c>
      <c r="C31" s="87">
        <v>430</v>
      </c>
      <c r="D31" s="85">
        <v>24.878284417651997</v>
      </c>
      <c r="E31" s="93">
        <f>B31+C31+D31</f>
        <v>503.086284417652</v>
      </c>
      <c r="F31" s="86"/>
      <c r="G31" s="87">
        <f>I31-H31</f>
        <v>325.59072038149202</v>
      </c>
      <c r="H31" s="87">
        <v>127.79756403616</v>
      </c>
      <c r="I31" s="87">
        <f>E31-J31</f>
        <v>453.38828441765202</v>
      </c>
      <c r="J31" s="87">
        <v>49.698</v>
      </c>
      <c r="K31" s="16"/>
      <c r="L31" s="16"/>
      <c r="M31" s="16"/>
      <c r="N31" s="16"/>
      <c r="O31" s="16"/>
    </row>
    <row r="32" spans="1:15" ht="16.2">
      <c r="A32" s="16" t="s">
        <v>156</v>
      </c>
      <c r="B32" s="85">
        <f>J31</f>
        <v>49.698</v>
      </c>
      <c r="C32" s="87">
        <v>400</v>
      </c>
      <c r="D32" s="85">
        <v>20</v>
      </c>
      <c r="E32" s="93">
        <f>B32+C32+D32</f>
        <v>469.69799999999998</v>
      </c>
      <c r="F32" s="86"/>
      <c r="G32" s="87">
        <f>I32-H32</f>
        <v>339.69799999999998</v>
      </c>
      <c r="H32" s="87">
        <v>80</v>
      </c>
      <c r="I32" s="87">
        <f>E32-J32</f>
        <v>419.69799999999998</v>
      </c>
      <c r="J32" s="87">
        <v>50</v>
      </c>
      <c r="K32" s="16"/>
      <c r="L32" s="16"/>
      <c r="M32" s="16"/>
      <c r="N32" s="16"/>
      <c r="O32" s="16"/>
    </row>
    <row r="33" spans="1:17" ht="16.2">
      <c r="A33" s="15" t="s">
        <v>155</v>
      </c>
      <c r="B33" s="89">
        <f>J32</f>
        <v>50</v>
      </c>
      <c r="C33" s="91">
        <v>420</v>
      </c>
      <c r="D33" s="89">
        <v>20</v>
      </c>
      <c r="E33" s="94">
        <f>B33+C33+D33</f>
        <v>490</v>
      </c>
      <c r="F33" s="90"/>
      <c r="G33" s="91">
        <f>I33-H33</f>
        <v>360.30200000000002</v>
      </c>
      <c r="H33" s="91">
        <v>80</v>
      </c>
      <c r="I33" s="91">
        <f>E33-J33</f>
        <v>440.30200000000002</v>
      </c>
      <c r="J33" s="91">
        <v>49.698</v>
      </c>
      <c r="K33" s="16"/>
      <c r="L33" s="16"/>
      <c r="M33" s="16"/>
      <c r="N33" s="16"/>
      <c r="O33" s="16"/>
    </row>
    <row r="34" spans="1:17" ht="16.2">
      <c r="A34" s="49" t="s">
        <v>84</v>
      </c>
      <c r="B34" s="16"/>
      <c r="C34" s="83"/>
      <c r="D34" s="83"/>
      <c r="E34" s="83"/>
      <c r="F34" s="83"/>
      <c r="G34" s="83"/>
      <c r="H34" s="83"/>
      <c r="I34" s="16"/>
      <c r="J34" s="16"/>
      <c r="K34" s="16"/>
      <c r="L34" s="16"/>
      <c r="M34" s="16"/>
      <c r="N34" s="16"/>
      <c r="O34" s="16"/>
    </row>
    <row r="35" spans="1:17" ht="14.4">
      <c r="A35" s="16" t="s">
        <v>88</v>
      </c>
      <c r="B35" s="34"/>
      <c r="C35" s="39"/>
      <c r="D35" s="34"/>
      <c r="E35" s="34"/>
      <c r="F35" s="34"/>
      <c r="G35" s="34"/>
      <c r="H35" s="34"/>
      <c r="I35" s="16"/>
      <c r="J35" s="16"/>
      <c r="K35" s="16"/>
      <c r="L35" s="16"/>
      <c r="M35" s="16"/>
      <c r="N35" s="16"/>
      <c r="O35" s="16"/>
    </row>
    <row r="36" spans="1:17" ht="13.8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7" ht="13.8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7" ht="13.8">
      <c r="A38" s="15" t="s">
        <v>7</v>
      </c>
      <c r="B38" s="15"/>
      <c r="C38" s="15"/>
      <c r="D38" s="15"/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</row>
    <row r="39" spans="1:17" ht="13.8">
      <c r="A39" s="16"/>
      <c r="B39" s="163" t="s">
        <v>13</v>
      </c>
      <c r="C39" s="163"/>
      <c r="D39" s="18" t="s">
        <v>14</v>
      </c>
      <c r="E39" s="163" t="s">
        <v>15</v>
      </c>
      <c r="F39" s="163"/>
      <c r="G39" s="163"/>
      <c r="H39" s="163"/>
      <c r="I39" s="16"/>
      <c r="J39" s="163" t="s">
        <v>58</v>
      </c>
      <c r="K39" s="163"/>
      <c r="L39" s="163"/>
      <c r="M39" s="163"/>
      <c r="N39" s="163"/>
      <c r="O39" s="82"/>
    </row>
    <row r="40" spans="1:17" ht="13.8">
      <c r="A40" s="16" t="s">
        <v>17</v>
      </c>
      <c r="B40" s="18" t="s">
        <v>18</v>
      </c>
      <c r="C40" s="18" t="s">
        <v>19</v>
      </c>
      <c r="D40" s="16"/>
      <c r="E40" s="18" t="s">
        <v>69</v>
      </c>
      <c r="F40" s="18"/>
      <c r="G40" s="18"/>
      <c r="H40" s="18"/>
      <c r="I40" s="16"/>
      <c r="J40" s="63" t="s">
        <v>86</v>
      </c>
      <c r="K40" s="18"/>
      <c r="L40" s="18" t="s">
        <v>22</v>
      </c>
      <c r="M40" s="18"/>
      <c r="N40" s="18"/>
      <c r="O40" s="18" t="s">
        <v>59</v>
      </c>
    </row>
    <row r="41" spans="1:17" ht="13.8">
      <c r="A41" s="22" t="s">
        <v>77</v>
      </c>
      <c r="B41" s="23"/>
      <c r="C41" s="23"/>
      <c r="D41" s="23"/>
      <c r="E41" s="24" t="s">
        <v>61</v>
      </c>
      <c r="F41" s="24" t="s">
        <v>26</v>
      </c>
      <c r="G41" s="24" t="s">
        <v>70</v>
      </c>
      <c r="H41" s="24" t="s">
        <v>82</v>
      </c>
      <c r="I41" s="24"/>
      <c r="J41" s="24" t="s">
        <v>89</v>
      </c>
      <c r="K41" s="24" t="s">
        <v>80</v>
      </c>
      <c r="L41" s="24" t="s">
        <v>29</v>
      </c>
      <c r="M41" s="26" t="s">
        <v>30</v>
      </c>
      <c r="N41" s="24" t="s">
        <v>62</v>
      </c>
      <c r="O41" s="24" t="s">
        <v>65</v>
      </c>
    </row>
    <row r="42" spans="1:17" ht="14.4">
      <c r="A42" s="16"/>
      <c r="B42" s="167" t="s">
        <v>90</v>
      </c>
      <c r="C42" s="168"/>
      <c r="D42" s="95" t="s">
        <v>91</v>
      </c>
      <c r="E42" s="169" t="s">
        <v>92</v>
      </c>
      <c r="F42" s="166"/>
      <c r="G42" s="166"/>
      <c r="H42" s="166"/>
      <c r="I42" s="166"/>
      <c r="J42" s="166"/>
      <c r="K42" s="166"/>
      <c r="L42" s="166"/>
      <c r="M42" s="166"/>
      <c r="N42" s="166"/>
      <c r="O42" s="168"/>
    </row>
    <row r="43" spans="1:17" ht="13.8">
      <c r="A43" s="16"/>
      <c r="B43" s="18"/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7" ht="13.8">
      <c r="A44" s="16" t="s">
        <v>37</v>
      </c>
      <c r="B44" s="84">
        <v>1580.2</v>
      </c>
      <c r="C44" s="84">
        <v>1540.1</v>
      </c>
      <c r="D44" s="84">
        <f>F44*1000/C44</f>
        <v>4130.4662034932799</v>
      </c>
      <c r="E44" s="84">
        <v>1968.162</v>
      </c>
      <c r="F44" s="84">
        <v>6361.3310000000001</v>
      </c>
      <c r="G44" s="87">
        <v>107.105</v>
      </c>
      <c r="H44" s="84">
        <f>SUM(E44:G44)</f>
        <v>8436.598</v>
      </c>
      <c r="I44" s="84"/>
      <c r="J44" s="84">
        <v>3313.1</v>
      </c>
      <c r="K44" s="84">
        <v>842.43200000000002</v>
      </c>
      <c r="L44" s="87">
        <f t="shared" ref="L44:L46" si="0">N44-J44-K44-M44</f>
        <v>738.31830540849705</v>
      </c>
      <c r="M44" s="87">
        <v>1182.4906945915034</v>
      </c>
      <c r="N44" s="84">
        <f>H44-O44</f>
        <v>6076.3410000000003</v>
      </c>
      <c r="O44" s="84">
        <v>2360.2570000000001</v>
      </c>
      <c r="P44" s="114"/>
    </row>
    <row r="45" spans="1:17" ht="16.2">
      <c r="A45" s="16" t="s">
        <v>156</v>
      </c>
      <c r="B45" s="84">
        <v>1450.3</v>
      </c>
      <c r="C45" s="84">
        <v>1385.4</v>
      </c>
      <c r="D45" s="84">
        <f>F45*1000/C45</f>
        <v>4019.1641403204849</v>
      </c>
      <c r="E45" s="84">
        <f>O44</f>
        <v>2360.2570000000001</v>
      </c>
      <c r="F45" s="84">
        <v>5568.15</v>
      </c>
      <c r="G45" s="87">
        <v>110</v>
      </c>
      <c r="H45" s="84">
        <f>SUM(E45:G45)</f>
        <v>8038.4069999999992</v>
      </c>
      <c r="I45" s="84"/>
      <c r="J45" s="84">
        <v>3262.31</v>
      </c>
      <c r="K45" s="84">
        <v>815</v>
      </c>
      <c r="L45" s="87">
        <f t="shared" si="0"/>
        <v>700.19699999999966</v>
      </c>
      <c r="M45" s="87">
        <v>1100</v>
      </c>
      <c r="N45" s="84">
        <f>H45-O45</f>
        <v>5877.5069999999996</v>
      </c>
      <c r="O45" s="84">
        <v>2160.9</v>
      </c>
      <c r="P45" s="114"/>
      <c r="Q45" s="114"/>
    </row>
    <row r="46" spans="1:17" ht="16.2">
      <c r="A46" s="15" t="s">
        <v>155</v>
      </c>
      <c r="B46" s="88">
        <v>1547</v>
      </c>
      <c r="C46" s="88">
        <v>1485.12</v>
      </c>
      <c r="D46" s="88">
        <v>4230</v>
      </c>
      <c r="E46" s="88">
        <f>O45</f>
        <v>2160.9</v>
      </c>
      <c r="F46" s="88">
        <f>(C46*D46)/1000</f>
        <v>6282.0575999999992</v>
      </c>
      <c r="G46" s="91">
        <v>115</v>
      </c>
      <c r="H46" s="88">
        <f>SUM(E46:G46)</f>
        <v>8557.9575999999997</v>
      </c>
      <c r="I46" s="88"/>
      <c r="J46" s="88">
        <v>3304.19</v>
      </c>
      <c r="K46" s="88">
        <v>850</v>
      </c>
      <c r="L46" s="91">
        <f t="shared" si="0"/>
        <v>756.68759999999975</v>
      </c>
      <c r="M46" s="91">
        <v>1300</v>
      </c>
      <c r="N46" s="88">
        <f>H46-O46</f>
        <v>6210.8775999999998</v>
      </c>
      <c r="O46" s="88">
        <v>2347.08</v>
      </c>
      <c r="P46" s="114"/>
      <c r="Q46" s="114"/>
    </row>
    <row r="47" spans="1:17" ht="16.2">
      <c r="A47" s="49" t="s">
        <v>84</v>
      </c>
      <c r="B47" s="16"/>
      <c r="C47" s="83"/>
      <c r="D47" s="83"/>
      <c r="E47" s="83"/>
      <c r="F47" s="83"/>
      <c r="G47" s="83"/>
      <c r="H47" s="83"/>
      <c r="I47" s="16"/>
      <c r="J47" s="16"/>
      <c r="K47" s="16"/>
      <c r="L47" s="16"/>
      <c r="M47" s="16"/>
      <c r="N47" s="16"/>
      <c r="O47" s="16"/>
    </row>
    <row r="48" spans="1:17" ht="14.4">
      <c r="A48" s="16" t="s">
        <v>152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4.4">
      <c r="A49" s="16" t="s">
        <v>85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3.8">
      <c r="A50" s="21" t="s">
        <v>56</v>
      </c>
      <c r="B50" s="96">
        <f>Contents!A16</f>
        <v>45090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44.4" customHeight="1">
      <c r="A51" s="97"/>
      <c r="B51" s="98"/>
      <c r="C51" s="98"/>
      <c r="D51" s="98"/>
      <c r="E51" s="98"/>
      <c r="F51" s="98"/>
      <c r="G51" s="98"/>
      <c r="H51" s="98"/>
      <c r="I51" s="98"/>
      <c r="J51" s="149"/>
      <c r="K51" s="98"/>
      <c r="L51" s="98"/>
      <c r="M51" s="98"/>
      <c r="N51" s="98"/>
      <c r="O51" s="98"/>
    </row>
    <row r="52" spans="1:15" ht="15.6">
      <c r="G52" s="72"/>
      <c r="H52" s="72"/>
    </row>
    <row r="53" spans="1:15" ht="15.6">
      <c r="G53" s="72"/>
      <c r="H53" s="72"/>
    </row>
    <row r="54" spans="1:15" ht="15.6">
      <c r="G54" s="72"/>
      <c r="H54" s="72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29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I46"/>
  <sheetViews>
    <sheetView showGridLines="0" zoomScale="70" zoomScaleNormal="70" workbookViewId="0"/>
  </sheetViews>
  <sheetFormatPr defaultColWidth="9.109375" defaultRowHeight="13.2"/>
  <cols>
    <col min="1" max="1" width="11.6640625" customWidth="1"/>
    <col min="2" max="2" width="18.88671875" bestFit="1" customWidth="1"/>
    <col min="3" max="3" width="22.109375" bestFit="1" customWidth="1"/>
    <col min="4" max="5" width="25.6640625" bestFit="1" customWidth="1"/>
    <col min="6" max="6" width="16.6640625" bestFit="1" customWidth="1"/>
    <col min="7" max="7" width="18.88671875" bestFit="1" customWidth="1"/>
  </cols>
  <sheetData>
    <row r="1" spans="1:7" ht="15.6" customHeight="1">
      <c r="A1" s="15" t="s">
        <v>8</v>
      </c>
      <c r="B1" s="15"/>
      <c r="C1" s="15"/>
      <c r="D1" s="15"/>
      <c r="E1" s="15"/>
      <c r="F1" s="15"/>
      <c r="G1" s="15"/>
    </row>
    <row r="2" spans="1:7" ht="15.6" customHeight="1">
      <c r="A2" s="16" t="s">
        <v>93</v>
      </c>
      <c r="B2" s="18" t="s">
        <v>94</v>
      </c>
      <c r="C2" s="18" t="s">
        <v>95</v>
      </c>
      <c r="D2" s="18" t="s">
        <v>96</v>
      </c>
      <c r="E2" s="18" t="s">
        <v>97</v>
      </c>
      <c r="F2" s="18" t="s">
        <v>98</v>
      </c>
      <c r="G2" s="18" t="s">
        <v>99</v>
      </c>
    </row>
    <row r="3" spans="1:7" ht="15.6" customHeight="1">
      <c r="A3" s="15" t="s">
        <v>100</v>
      </c>
      <c r="B3" s="25"/>
      <c r="C3" s="54"/>
      <c r="D3" s="54"/>
      <c r="E3" s="54"/>
      <c r="F3" s="54"/>
      <c r="G3" s="54"/>
    </row>
    <row r="4" spans="1:7" ht="14.4">
      <c r="A4" s="55"/>
      <c r="B4" s="56" t="s">
        <v>101</v>
      </c>
      <c r="C4" s="56" t="s">
        <v>102</v>
      </c>
      <c r="D4" s="56" t="s">
        <v>103</v>
      </c>
      <c r="E4" s="56" t="s">
        <v>103</v>
      </c>
      <c r="F4" s="56" t="s">
        <v>104</v>
      </c>
      <c r="G4" s="56" t="s">
        <v>101</v>
      </c>
    </row>
    <row r="5" spans="1:7" ht="13.8">
      <c r="A5" s="16"/>
      <c r="B5" s="16"/>
      <c r="C5" s="16"/>
      <c r="D5" s="18"/>
      <c r="E5" s="16"/>
      <c r="F5" s="16"/>
      <c r="G5" s="16"/>
    </row>
    <row r="6" spans="1:7" ht="13.8">
      <c r="A6" s="16" t="s">
        <v>105</v>
      </c>
      <c r="B6" s="57">
        <v>11.3</v>
      </c>
      <c r="C6" s="57">
        <v>161</v>
      </c>
      <c r="D6" s="57">
        <v>23.3</v>
      </c>
      <c r="E6" s="57">
        <v>19.3</v>
      </c>
      <c r="F6" s="57">
        <v>22.5</v>
      </c>
      <c r="G6" s="57">
        <v>12.2</v>
      </c>
    </row>
    <row r="7" spans="1:7" ht="13.8">
      <c r="A7" s="16" t="s">
        <v>106</v>
      </c>
      <c r="B7" s="57">
        <v>12.5</v>
      </c>
      <c r="C7" s="57">
        <v>260</v>
      </c>
      <c r="D7" s="57">
        <v>29.1</v>
      </c>
      <c r="E7" s="57">
        <v>24</v>
      </c>
      <c r="F7" s="57">
        <v>31.8</v>
      </c>
      <c r="G7" s="57">
        <v>13.9</v>
      </c>
    </row>
    <row r="8" spans="1:7" ht="13.8">
      <c r="A8" s="16" t="s">
        <v>107</v>
      </c>
      <c r="B8" s="57">
        <v>14.4</v>
      </c>
      <c r="C8" s="57">
        <v>252</v>
      </c>
      <c r="D8" s="57">
        <v>25.4</v>
      </c>
      <c r="E8" s="57">
        <v>26.5</v>
      </c>
      <c r="F8" s="57">
        <v>30.1</v>
      </c>
      <c r="G8" s="57">
        <v>13.8</v>
      </c>
    </row>
    <row r="9" spans="1:7" ht="13.8">
      <c r="A9" s="16" t="s">
        <v>108</v>
      </c>
      <c r="B9" s="57">
        <v>13</v>
      </c>
      <c r="C9" s="57">
        <v>246</v>
      </c>
      <c r="D9" s="57">
        <v>21.4</v>
      </c>
      <c r="E9" s="57">
        <v>20.6</v>
      </c>
      <c r="F9" s="57">
        <v>24.9</v>
      </c>
      <c r="G9" s="57">
        <v>13.8</v>
      </c>
    </row>
    <row r="10" spans="1:7" ht="13.8">
      <c r="A10" s="16" t="s">
        <v>109</v>
      </c>
      <c r="B10" s="57">
        <v>10.1</v>
      </c>
      <c r="C10" s="57">
        <v>194</v>
      </c>
      <c r="D10" s="57">
        <v>21.7</v>
      </c>
      <c r="E10" s="57">
        <v>16.899999999999999</v>
      </c>
      <c r="F10" s="57">
        <v>22</v>
      </c>
      <c r="G10" s="57">
        <v>11.8</v>
      </c>
    </row>
    <row r="11" spans="1:7" ht="13.8">
      <c r="A11" s="16" t="s">
        <v>110</v>
      </c>
      <c r="B11" s="57">
        <v>8.9499999999999993</v>
      </c>
      <c r="C11" s="57">
        <v>227</v>
      </c>
      <c r="D11" s="57">
        <v>19.600000000000001</v>
      </c>
      <c r="E11" s="57">
        <v>15.6</v>
      </c>
      <c r="F11" s="57">
        <v>19.3</v>
      </c>
      <c r="G11" s="57">
        <v>8.9499999999999993</v>
      </c>
    </row>
    <row r="12" spans="1:7" ht="13.8">
      <c r="A12" s="16" t="s">
        <v>111</v>
      </c>
      <c r="B12" s="57">
        <v>9.4700000000000006</v>
      </c>
      <c r="C12" s="57">
        <v>195</v>
      </c>
      <c r="D12" s="57">
        <v>17.399999999999999</v>
      </c>
      <c r="E12" s="57">
        <v>16.600000000000001</v>
      </c>
      <c r="F12" s="57">
        <v>19.7</v>
      </c>
      <c r="G12" s="57">
        <v>8</v>
      </c>
    </row>
    <row r="13" spans="1:7" ht="13.8">
      <c r="A13" s="16" t="s">
        <v>112</v>
      </c>
      <c r="B13" s="57">
        <v>9.33</v>
      </c>
      <c r="C13" s="57">
        <v>142</v>
      </c>
      <c r="D13" s="57">
        <v>17.2</v>
      </c>
      <c r="E13" s="57">
        <v>17.5</v>
      </c>
      <c r="F13" s="57">
        <v>22.9</v>
      </c>
      <c r="G13" s="57">
        <v>9.5299999999999994</v>
      </c>
    </row>
    <row r="14" spans="1:7" ht="13.8">
      <c r="A14" s="16" t="s">
        <v>113</v>
      </c>
      <c r="B14" s="57">
        <v>8.48</v>
      </c>
      <c r="C14" s="57">
        <v>155</v>
      </c>
      <c r="D14" s="57">
        <v>17.399999999999999</v>
      </c>
      <c r="E14" s="57">
        <v>15.8</v>
      </c>
      <c r="F14" s="57">
        <v>21.5</v>
      </c>
      <c r="G14" s="57">
        <v>9.89</v>
      </c>
    </row>
    <row r="15" spans="1:7" ht="13.8">
      <c r="A15" s="16" t="s">
        <v>114</v>
      </c>
      <c r="B15" s="57">
        <v>8.57</v>
      </c>
      <c r="C15" s="57">
        <v>161</v>
      </c>
      <c r="D15" s="57">
        <v>19.5</v>
      </c>
      <c r="E15" s="57">
        <v>14.8</v>
      </c>
      <c r="F15" s="57">
        <v>20.5</v>
      </c>
      <c r="G15" s="57">
        <v>9.15</v>
      </c>
    </row>
    <row r="16" spans="1:7" ht="13.8">
      <c r="A16" s="16" t="s">
        <v>34</v>
      </c>
      <c r="B16" s="57">
        <v>10.8</v>
      </c>
      <c r="C16" s="57">
        <v>194</v>
      </c>
      <c r="D16" s="57">
        <v>21.3</v>
      </c>
      <c r="E16" s="57">
        <v>18.400000000000002</v>
      </c>
      <c r="F16" s="57">
        <v>21</v>
      </c>
      <c r="G16" s="57">
        <v>11.1</v>
      </c>
    </row>
    <row r="17" spans="1:9" ht="13.8">
      <c r="A17" s="16" t="s">
        <v>37</v>
      </c>
      <c r="B17" s="57">
        <v>13.3</v>
      </c>
      <c r="C17" s="57">
        <v>243</v>
      </c>
      <c r="D17" s="57">
        <v>32.9</v>
      </c>
      <c r="E17" s="57">
        <v>32.9</v>
      </c>
      <c r="F17" s="57">
        <v>24.3</v>
      </c>
      <c r="G17" s="57">
        <v>25.9</v>
      </c>
    </row>
    <row r="18" spans="1:9" ht="16.2">
      <c r="A18" s="16" t="s">
        <v>115</v>
      </c>
      <c r="B18" s="57">
        <v>14.2</v>
      </c>
      <c r="C18" s="57">
        <v>332</v>
      </c>
      <c r="D18" s="57">
        <v>27.2</v>
      </c>
      <c r="E18" s="57">
        <v>30</v>
      </c>
      <c r="F18" s="57">
        <v>27</v>
      </c>
      <c r="G18" s="129">
        <v>17</v>
      </c>
      <c r="H18" s="127"/>
    </row>
    <row r="19" spans="1:9" ht="16.2">
      <c r="A19" s="16" t="s">
        <v>157</v>
      </c>
      <c r="B19" s="57">
        <v>12.1</v>
      </c>
      <c r="C19" s="57">
        <v>260</v>
      </c>
      <c r="D19" s="57">
        <v>25.55</v>
      </c>
      <c r="E19" s="57">
        <v>24</v>
      </c>
      <c r="F19" s="57">
        <v>26.5</v>
      </c>
      <c r="G19" s="129">
        <v>12.5</v>
      </c>
      <c r="H19" s="127"/>
      <c r="I19" s="156"/>
    </row>
    <row r="20" spans="1:9" ht="13.8">
      <c r="A20" s="16"/>
      <c r="B20" s="58"/>
      <c r="C20" s="59"/>
      <c r="D20" s="60"/>
      <c r="E20" s="60"/>
      <c r="F20" s="59"/>
      <c r="G20" s="61"/>
      <c r="H20" s="50"/>
    </row>
    <row r="21" spans="1:9" ht="13.8">
      <c r="A21" s="62" t="s">
        <v>37</v>
      </c>
      <c r="B21" s="57"/>
      <c r="C21" s="57"/>
      <c r="D21" s="57"/>
      <c r="E21" s="57"/>
      <c r="F21" s="57"/>
      <c r="G21" s="57"/>
    </row>
    <row r="22" spans="1:9" ht="13.8">
      <c r="A22" s="16" t="s">
        <v>38</v>
      </c>
      <c r="B22" s="57">
        <v>12.2</v>
      </c>
      <c r="C22" s="57">
        <v>235</v>
      </c>
      <c r="D22" s="57">
        <v>30.7</v>
      </c>
      <c r="E22" s="57">
        <v>28.7</v>
      </c>
      <c r="F22" s="57">
        <v>22.2</v>
      </c>
      <c r="G22" s="57">
        <v>19.8</v>
      </c>
    </row>
    <row r="23" spans="1:9" ht="13.8">
      <c r="A23" s="16" t="s">
        <v>39</v>
      </c>
      <c r="B23" s="57">
        <v>11.9</v>
      </c>
      <c r="C23" s="57">
        <v>244</v>
      </c>
      <c r="D23" s="57">
        <v>30.5</v>
      </c>
      <c r="E23" s="57">
        <v>29.6</v>
      </c>
      <c r="F23" s="57">
        <v>23.9</v>
      </c>
      <c r="G23" s="57">
        <v>26.2</v>
      </c>
    </row>
    <row r="24" spans="1:9" ht="13.8">
      <c r="A24" s="16" t="s">
        <v>40</v>
      </c>
      <c r="B24" s="57">
        <v>12.1</v>
      </c>
      <c r="C24" s="57">
        <v>244</v>
      </c>
      <c r="D24" s="57">
        <v>30.3</v>
      </c>
      <c r="E24" s="57">
        <v>31.7</v>
      </c>
      <c r="F24" s="57">
        <v>25.4</v>
      </c>
      <c r="G24" s="57">
        <v>26.1</v>
      </c>
    </row>
    <row r="25" spans="1:9" ht="13.8">
      <c r="A25" s="16" t="s">
        <v>42</v>
      </c>
      <c r="B25" s="57">
        <v>12.5</v>
      </c>
      <c r="C25" s="57">
        <v>239</v>
      </c>
      <c r="D25" s="57">
        <v>31.6</v>
      </c>
      <c r="E25" s="57">
        <v>32.5</v>
      </c>
      <c r="F25" s="57">
        <v>24.1</v>
      </c>
      <c r="G25" s="57">
        <v>31.3</v>
      </c>
    </row>
    <row r="26" spans="1:9" ht="13.8">
      <c r="A26" s="16" t="s">
        <v>43</v>
      </c>
      <c r="B26" s="57">
        <v>12.9</v>
      </c>
      <c r="C26" s="57">
        <v>241</v>
      </c>
      <c r="D26" s="57">
        <v>31</v>
      </c>
      <c r="E26" s="57">
        <v>33.700000000000003</v>
      </c>
      <c r="F26" s="57">
        <v>25.9</v>
      </c>
      <c r="G26" s="57">
        <v>31</v>
      </c>
    </row>
    <row r="27" spans="1:9" ht="13.8">
      <c r="A27" s="16" t="s">
        <v>44</v>
      </c>
      <c r="B27" s="57">
        <v>14.7</v>
      </c>
      <c r="C27" s="57">
        <v>256</v>
      </c>
      <c r="D27" s="57">
        <v>32.200000000000003</v>
      </c>
      <c r="E27" s="57">
        <v>37.5</v>
      </c>
      <c r="F27" s="57">
        <v>24.8</v>
      </c>
      <c r="G27" s="57">
        <v>27.5</v>
      </c>
    </row>
    <row r="28" spans="1:9" ht="13.8">
      <c r="A28" s="16" t="s">
        <v>46</v>
      </c>
      <c r="B28" s="57">
        <v>15.4</v>
      </c>
      <c r="C28" s="57" t="s">
        <v>75</v>
      </c>
      <c r="D28" s="57">
        <v>33.9</v>
      </c>
      <c r="E28" s="57">
        <v>39.200000000000003</v>
      </c>
      <c r="F28" s="57">
        <v>25</v>
      </c>
      <c r="G28" s="57">
        <v>28.9</v>
      </c>
    </row>
    <row r="29" spans="1:9" ht="13.8">
      <c r="A29" s="16" t="s">
        <v>47</v>
      </c>
      <c r="B29" s="57">
        <v>15.8</v>
      </c>
      <c r="C29" s="57" t="s">
        <v>75</v>
      </c>
      <c r="D29" s="57">
        <v>37.1</v>
      </c>
      <c r="E29" s="57">
        <v>41.3</v>
      </c>
      <c r="F29" s="57">
        <v>24.8</v>
      </c>
      <c r="G29" s="57">
        <v>30.2</v>
      </c>
    </row>
    <row r="30" spans="1:9" ht="13.8">
      <c r="A30" s="16" t="s">
        <v>48</v>
      </c>
      <c r="B30" s="57">
        <v>16.100000000000001</v>
      </c>
      <c r="C30" s="57" t="s">
        <v>75</v>
      </c>
      <c r="D30" s="57">
        <v>40.1</v>
      </c>
      <c r="E30" s="57">
        <v>42.9</v>
      </c>
      <c r="F30" s="57">
        <v>25.3</v>
      </c>
      <c r="G30" s="57">
        <v>29.7</v>
      </c>
    </row>
    <row r="31" spans="1:9" ht="13.8">
      <c r="A31" s="16" t="s">
        <v>50</v>
      </c>
      <c r="B31" s="57">
        <v>16.399999999999999</v>
      </c>
      <c r="C31" s="57" t="s">
        <v>75</v>
      </c>
      <c r="D31" s="57">
        <v>40.200000000000003</v>
      </c>
      <c r="E31" s="57">
        <v>45.6</v>
      </c>
      <c r="F31" s="57">
        <v>25.2</v>
      </c>
      <c r="G31" s="57">
        <v>23.9</v>
      </c>
    </row>
    <row r="32" spans="1:9" ht="13.8">
      <c r="A32" s="16" t="s">
        <v>51</v>
      </c>
      <c r="B32" s="57">
        <v>15.5</v>
      </c>
      <c r="C32" s="57">
        <v>360</v>
      </c>
      <c r="D32" s="57">
        <v>36.200000000000003</v>
      </c>
      <c r="E32" s="57">
        <v>42.7</v>
      </c>
      <c r="F32" s="57">
        <v>25.3</v>
      </c>
      <c r="G32" s="57">
        <v>24.2</v>
      </c>
    </row>
    <row r="33" spans="1:7" ht="13.8">
      <c r="A33" s="16" t="s">
        <v>52</v>
      </c>
      <c r="B33" s="57">
        <f>15.3</f>
        <v>15.3</v>
      </c>
      <c r="C33" s="57">
        <f>343</f>
        <v>343</v>
      </c>
      <c r="D33" s="57">
        <f>37.8</f>
        <v>37.799999999999997</v>
      </c>
      <c r="E33" s="57">
        <f>40</f>
        <v>40</v>
      </c>
      <c r="F33" s="57">
        <f>25</f>
        <v>25</v>
      </c>
      <c r="G33" s="57">
        <f>20.8</f>
        <v>20.8</v>
      </c>
    </row>
    <row r="34" spans="1:7" ht="13.8">
      <c r="A34" s="16"/>
      <c r="B34" s="57"/>
      <c r="C34" s="57"/>
      <c r="D34" s="57"/>
      <c r="E34" s="57"/>
      <c r="F34" s="57"/>
      <c r="G34" s="57"/>
    </row>
    <row r="35" spans="1:7" ht="13.8">
      <c r="A35" s="62" t="s">
        <v>54</v>
      </c>
      <c r="B35" s="57"/>
      <c r="C35" s="57"/>
      <c r="D35" s="57"/>
      <c r="E35" s="57"/>
      <c r="F35" s="57"/>
      <c r="G35" s="57"/>
    </row>
    <row r="36" spans="1:7" ht="13.8">
      <c r="A36" s="16" t="s">
        <v>38</v>
      </c>
      <c r="B36" s="57">
        <v>14.1</v>
      </c>
      <c r="C36" s="57">
        <v>361</v>
      </c>
      <c r="D36" s="57">
        <v>32.9</v>
      </c>
      <c r="E36" s="57">
        <v>28.1</v>
      </c>
      <c r="F36" s="57">
        <v>25.7</v>
      </c>
      <c r="G36" s="57">
        <v>18.899999999999999</v>
      </c>
    </row>
    <row r="37" spans="1:7" ht="13.8">
      <c r="A37" s="16" t="s">
        <v>39</v>
      </c>
      <c r="B37" s="57">
        <v>13.5</v>
      </c>
      <c r="C37" s="57">
        <v>338</v>
      </c>
      <c r="D37" s="57">
        <v>29.3</v>
      </c>
      <c r="E37" s="57">
        <v>28.1</v>
      </c>
      <c r="F37" s="57">
        <v>26.6</v>
      </c>
      <c r="G37" s="57">
        <v>18.600000000000001</v>
      </c>
    </row>
    <row r="38" spans="1:7" ht="13.8">
      <c r="A38" s="16" t="s">
        <v>40</v>
      </c>
      <c r="B38" s="57">
        <v>14</v>
      </c>
      <c r="C38" s="57">
        <v>323</v>
      </c>
      <c r="D38" s="57">
        <v>28.4</v>
      </c>
      <c r="E38" s="57">
        <v>29.2</v>
      </c>
      <c r="F38" s="57">
        <v>29.9</v>
      </c>
      <c r="G38" s="57">
        <v>19.5</v>
      </c>
    </row>
    <row r="39" spans="1:7" ht="13.8">
      <c r="A39" s="16" t="s">
        <v>42</v>
      </c>
      <c r="B39" s="57">
        <v>14.4</v>
      </c>
      <c r="C39" s="57">
        <v>329</v>
      </c>
      <c r="D39" s="57">
        <v>29.5</v>
      </c>
      <c r="E39" s="57">
        <v>29.2</v>
      </c>
      <c r="F39" s="57">
        <v>24.1</v>
      </c>
      <c r="G39" s="57">
        <v>18.399999999999999</v>
      </c>
    </row>
    <row r="40" spans="1:7" ht="13.8">
      <c r="A40" s="16" t="s">
        <v>43</v>
      </c>
      <c r="B40" s="57">
        <v>14.5</v>
      </c>
      <c r="C40" s="57">
        <v>316</v>
      </c>
      <c r="D40" s="57">
        <v>28.5</v>
      </c>
      <c r="E40" s="57">
        <v>30.1</v>
      </c>
      <c r="F40" s="57">
        <v>27.9</v>
      </c>
      <c r="G40" s="57">
        <v>17.7</v>
      </c>
    </row>
    <row r="41" spans="1:7" ht="13.8">
      <c r="A41" s="16" t="s">
        <v>44</v>
      </c>
      <c r="B41" s="57">
        <v>15.1</v>
      </c>
      <c r="C41" s="57">
        <v>332</v>
      </c>
      <c r="D41" s="57">
        <v>30.8</v>
      </c>
      <c r="E41" s="57">
        <v>30.7</v>
      </c>
      <c r="F41" s="57">
        <v>27.2</v>
      </c>
      <c r="G41" s="57">
        <v>16.2</v>
      </c>
    </row>
    <row r="42" spans="1:7" ht="13.8">
      <c r="A42" s="16" t="s">
        <v>46</v>
      </c>
      <c r="B42" s="57">
        <v>14.9</v>
      </c>
      <c r="C42" s="57" t="s">
        <v>75</v>
      </c>
      <c r="D42" s="57">
        <v>26.9</v>
      </c>
      <c r="E42" s="57">
        <v>30.9</v>
      </c>
      <c r="F42" s="57">
        <v>26.9</v>
      </c>
      <c r="G42" s="57">
        <v>14.8</v>
      </c>
    </row>
    <row r="43" spans="1:7" ht="13.8">
      <c r="A43" s="15" t="s">
        <v>47</v>
      </c>
      <c r="B43" s="14">
        <v>14.9</v>
      </c>
      <c r="C43" s="14" t="s">
        <v>75</v>
      </c>
      <c r="D43" s="14">
        <v>26.9</v>
      </c>
      <c r="E43" s="14">
        <v>26.8</v>
      </c>
      <c r="F43" s="14">
        <v>27.3</v>
      </c>
      <c r="G43" s="14">
        <v>12.1</v>
      </c>
    </row>
    <row r="44" spans="1:7" ht="16.2">
      <c r="A44" s="16" t="s">
        <v>116</v>
      </c>
      <c r="B44" s="16"/>
      <c r="C44" s="16"/>
      <c r="D44" s="16"/>
      <c r="E44" s="16"/>
      <c r="F44" s="16"/>
      <c r="G44" s="16"/>
    </row>
    <row r="45" spans="1:7" ht="14.4">
      <c r="A45" s="16" t="s">
        <v>117</v>
      </c>
      <c r="B45" s="16"/>
      <c r="C45" s="16"/>
      <c r="D45" s="16"/>
      <c r="E45" s="16"/>
      <c r="F45" s="16"/>
      <c r="G45" s="16"/>
    </row>
    <row r="46" spans="1:7" ht="13.8">
      <c r="A46" s="21" t="s">
        <v>56</v>
      </c>
      <c r="B46" s="43">
        <f>Contents!A16</f>
        <v>45090</v>
      </c>
      <c r="C46" s="16"/>
      <c r="D46" s="16"/>
      <c r="E46" s="16"/>
      <c r="F46" s="16"/>
      <c r="G46" s="16"/>
    </row>
  </sheetData>
  <phoneticPr fontId="29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67"/>
  <sheetViews>
    <sheetView showGridLines="0" zoomScale="70" zoomScaleNormal="70" workbookViewId="0"/>
  </sheetViews>
  <sheetFormatPr defaultColWidth="9.109375" defaultRowHeight="13.2"/>
  <cols>
    <col min="1" max="2" width="11.6640625" customWidth="1"/>
    <col min="3" max="3" width="11.5546875" customWidth="1"/>
    <col min="4" max="4" width="13.6640625" customWidth="1"/>
    <col min="5" max="5" width="11.6640625" customWidth="1"/>
    <col min="6" max="6" width="11.5546875" bestFit="1" customWidth="1"/>
    <col min="7" max="7" width="10.6640625" customWidth="1"/>
    <col min="8" max="8" width="12" customWidth="1"/>
    <col min="9" max="9" width="13.44140625" customWidth="1"/>
  </cols>
  <sheetData>
    <row r="1" spans="1:12" ht="13.8">
      <c r="A1" s="15" t="s">
        <v>9</v>
      </c>
      <c r="B1" s="15"/>
      <c r="C1" s="15"/>
      <c r="D1" s="15"/>
      <c r="E1" s="15"/>
      <c r="F1" s="15"/>
      <c r="G1" s="15"/>
      <c r="H1" s="15"/>
      <c r="I1" s="16"/>
    </row>
    <row r="2" spans="1:12" ht="15.6" customHeight="1">
      <c r="A2" s="63" t="s">
        <v>93</v>
      </c>
      <c r="B2" s="18" t="s">
        <v>118</v>
      </c>
      <c r="C2" s="18" t="s">
        <v>119</v>
      </c>
      <c r="D2" s="18" t="s">
        <v>120</v>
      </c>
      <c r="E2" s="64" t="s">
        <v>121</v>
      </c>
      <c r="F2" s="64" t="s">
        <v>122</v>
      </c>
      <c r="G2" s="18" t="s">
        <v>123</v>
      </c>
      <c r="H2" s="18" t="s">
        <v>124</v>
      </c>
      <c r="I2" s="65" t="s">
        <v>125</v>
      </c>
    </row>
    <row r="3" spans="1:12" ht="15.6" customHeight="1">
      <c r="A3" s="66" t="s">
        <v>100</v>
      </c>
      <c r="B3" s="24" t="s">
        <v>126</v>
      </c>
      <c r="C3" s="24" t="s">
        <v>127</v>
      </c>
      <c r="D3" s="24" t="s">
        <v>128</v>
      </c>
      <c r="E3" s="24" t="s">
        <v>128</v>
      </c>
      <c r="F3" s="24" t="s">
        <v>129</v>
      </c>
      <c r="G3" s="24" t="s">
        <v>130</v>
      </c>
      <c r="H3" s="24"/>
      <c r="I3" s="24" t="s">
        <v>131</v>
      </c>
    </row>
    <row r="4" spans="1:12" ht="14.4">
      <c r="A4" s="67" t="s">
        <v>132</v>
      </c>
      <c r="C4" s="68"/>
      <c r="D4" s="68"/>
      <c r="E4" s="68"/>
      <c r="F4" s="68"/>
      <c r="G4" s="68"/>
      <c r="H4" s="68"/>
      <c r="I4" s="68"/>
    </row>
    <row r="5" spans="1:12" ht="13.8">
      <c r="A5" s="16"/>
      <c r="B5" s="16"/>
      <c r="C5" s="16"/>
      <c r="D5" s="16"/>
      <c r="E5" s="16"/>
      <c r="F5" s="16"/>
      <c r="G5" s="16"/>
      <c r="H5" s="16"/>
      <c r="I5" s="16"/>
    </row>
    <row r="6" spans="1:12" ht="13.8">
      <c r="A6" s="16" t="s">
        <v>105</v>
      </c>
      <c r="B6" s="57">
        <v>53.2</v>
      </c>
      <c r="C6" s="57">
        <v>54.5</v>
      </c>
      <c r="D6" s="57">
        <v>86.12</v>
      </c>
      <c r="E6" s="57">
        <v>58.68</v>
      </c>
      <c r="F6" s="57">
        <v>77.239999999999995</v>
      </c>
      <c r="G6" s="57">
        <v>60.76</v>
      </c>
      <c r="H6" s="57">
        <v>51.52</v>
      </c>
      <c r="I6" s="57">
        <v>51.34</v>
      </c>
      <c r="K6" s="73"/>
      <c r="L6" s="73"/>
    </row>
    <row r="7" spans="1:12" ht="13.8">
      <c r="A7" s="16" t="s">
        <v>106</v>
      </c>
      <c r="B7" s="57">
        <v>51.9</v>
      </c>
      <c r="C7" s="57">
        <v>53.22</v>
      </c>
      <c r="D7" s="57">
        <v>83.2</v>
      </c>
      <c r="E7" s="57">
        <v>57.19</v>
      </c>
      <c r="F7" s="57">
        <v>100.15</v>
      </c>
      <c r="G7" s="57">
        <v>56.09</v>
      </c>
      <c r="H7" s="57">
        <v>48.11</v>
      </c>
      <c r="I7" s="57">
        <v>50.33</v>
      </c>
      <c r="K7" s="73"/>
      <c r="L7" s="73"/>
    </row>
    <row r="8" spans="1:12" ht="13.8">
      <c r="A8" s="16" t="s">
        <v>107</v>
      </c>
      <c r="B8" s="57">
        <v>47.13</v>
      </c>
      <c r="C8" s="57">
        <v>48.6</v>
      </c>
      <c r="D8" s="57">
        <v>65.87</v>
      </c>
      <c r="E8" s="57">
        <v>56.17</v>
      </c>
      <c r="F8" s="57">
        <v>91.83</v>
      </c>
      <c r="G8" s="57">
        <v>46.66</v>
      </c>
      <c r="H8" s="57">
        <v>51.8</v>
      </c>
      <c r="I8" s="57">
        <v>43.24</v>
      </c>
      <c r="K8" s="73"/>
      <c r="L8" s="73"/>
    </row>
    <row r="9" spans="1:12" ht="13.8">
      <c r="A9" s="16" t="s">
        <v>108</v>
      </c>
      <c r="B9" s="57">
        <v>38.229999999999997</v>
      </c>
      <c r="C9" s="57">
        <v>60.66</v>
      </c>
      <c r="D9" s="57">
        <v>59.12</v>
      </c>
      <c r="E9" s="57">
        <v>43.7</v>
      </c>
      <c r="F9" s="57">
        <v>68.23</v>
      </c>
      <c r="G9" s="57">
        <v>39.43</v>
      </c>
      <c r="H9" s="57">
        <v>43.93</v>
      </c>
      <c r="I9" s="57">
        <v>39.76</v>
      </c>
      <c r="K9" s="73"/>
      <c r="L9" s="73"/>
    </row>
    <row r="10" spans="1:12" ht="13.8">
      <c r="A10" s="16" t="s">
        <v>109</v>
      </c>
      <c r="B10" s="57">
        <v>31.6</v>
      </c>
      <c r="C10" s="57">
        <v>45.74</v>
      </c>
      <c r="D10" s="57">
        <v>66.72</v>
      </c>
      <c r="E10" s="57">
        <v>37.81</v>
      </c>
      <c r="F10" s="57">
        <v>57.96</v>
      </c>
      <c r="G10" s="57">
        <v>37.479999999999997</v>
      </c>
      <c r="H10" s="57">
        <v>33.43</v>
      </c>
      <c r="I10" s="57">
        <v>31.36</v>
      </c>
      <c r="K10" s="73"/>
      <c r="L10" s="73"/>
    </row>
    <row r="11" spans="1:12" ht="13.8">
      <c r="A11" s="16" t="s">
        <v>110</v>
      </c>
      <c r="B11" s="57">
        <v>29.86</v>
      </c>
      <c r="C11" s="57">
        <v>45.87</v>
      </c>
      <c r="D11" s="57">
        <v>57.81</v>
      </c>
      <c r="E11" s="57">
        <v>35.270000000000003</v>
      </c>
      <c r="F11" s="57">
        <v>58.26</v>
      </c>
      <c r="G11" s="57">
        <v>39.25</v>
      </c>
      <c r="H11" s="57">
        <v>32.229999999999997</v>
      </c>
      <c r="I11" s="57">
        <v>30.07</v>
      </c>
      <c r="K11" s="73"/>
      <c r="L11" s="73"/>
    </row>
    <row r="12" spans="1:12" ht="13.8">
      <c r="A12" s="16" t="s">
        <v>111</v>
      </c>
      <c r="B12" s="57">
        <v>32.549999999999997</v>
      </c>
      <c r="C12" s="57">
        <v>40.92</v>
      </c>
      <c r="D12" s="57">
        <v>53.54</v>
      </c>
      <c r="E12" s="57">
        <v>38.729999999999997</v>
      </c>
      <c r="F12" s="57">
        <v>66.73</v>
      </c>
      <c r="G12" s="57">
        <v>37.43</v>
      </c>
      <c r="H12" s="57">
        <v>33.07</v>
      </c>
      <c r="I12" s="57">
        <v>34.75</v>
      </c>
      <c r="K12" s="73"/>
      <c r="L12" s="73"/>
    </row>
    <row r="13" spans="1:12" ht="13.8">
      <c r="A13" s="16" t="s">
        <v>112</v>
      </c>
      <c r="B13" s="57">
        <v>30.04</v>
      </c>
      <c r="C13" s="57">
        <v>31.87</v>
      </c>
      <c r="D13" s="57">
        <v>54.57</v>
      </c>
      <c r="E13" s="57">
        <v>38.270000000000003</v>
      </c>
      <c r="F13" s="57">
        <v>66.72</v>
      </c>
      <c r="G13" s="57">
        <v>30.35</v>
      </c>
      <c r="H13" s="57">
        <v>34.159999999999997</v>
      </c>
      <c r="I13" s="57">
        <v>31.21</v>
      </c>
      <c r="K13" s="73"/>
      <c r="L13" s="73"/>
    </row>
    <row r="14" spans="1:12" ht="13.8">
      <c r="A14" s="16" t="s">
        <v>113</v>
      </c>
      <c r="B14" s="57">
        <v>28.26</v>
      </c>
      <c r="C14" s="57">
        <v>35.14</v>
      </c>
      <c r="D14" s="57">
        <v>53.28</v>
      </c>
      <c r="E14" s="57">
        <v>36.090000000000003</v>
      </c>
      <c r="F14" s="57">
        <v>64.72</v>
      </c>
      <c r="G14" s="57">
        <v>26.93</v>
      </c>
      <c r="H14" s="57">
        <v>31.65</v>
      </c>
      <c r="I14" s="57">
        <v>33.11</v>
      </c>
      <c r="K14" s="73"/>
      <c r="L14" s="73"/>
    </row>
    <row r="15" spans="1:12" ht="13.8">
      <c r="A15" s="16" t="s">
        <v>114</v>
      </c>
      <c r="B15" s="57">
        <v>29.65</v>
      </c>
      <c r="C15" s="57">
        <v>40.18</v>
      </c>
      <c r="D15" s="57">
        <v>65.03</v>
      </c>
      <c r="E15" s="57">
        <v>37.869999999999997</v>
      </c>
      <c r="F15" s="57">
        <v>62</v>
      </c>
      <c r="G15" s="57">
        <v>39.47</v>
      </c>
      <c r="H15" s="57">
        <v>35.75</v>
      </c>
      <c r="I15" s="57">
        <v>38.369999999999997</v>
      </c>
      <c r="K15" s="73"/>
      <c r="L15" s="73"/>
    </row>
    <row r="16" spans="1:12" ht="13.8">
      <c r="A16" s="16" t="s">
        <v>34</v>
      </c>
      <c r="B16" s="57">
        <v>56.87</v>
      </c>
      <c r="C16" s="57">
        <v>80.94</v>
      </c>
      <c r="D16" s="57">
        <v>79</v>
      </c>
      <c r="E16" s="57">
        <v>70.459999999999994</v>
      </c>
      <c r="F16" s="57">
        <v>101.4</v>
      </c>
      <c r="G16" s="57">
        <v>53.88</v>
      </c>
      <c r="H16" s="57">
        <v>55.89</v>
      </c>
      <c r="I16" s="57">
        <v>54.98</v>
      </c>
      <c r="K16" s="73"/>
      <c r="L16" s="73"/>
    </row>
    <row r="17" spans="1:12" ht="13.8">
      <c r="A17" s="16" t="s">
        <v>37</v>
      </c>
      <c r="B17" s="57">
        <v>72.98</v>
      </c>
      <c r="C17" s="57">
        <v>107.15</v>
      </c>
      <c r="D17" s="57">
        <v>111.39</v>
      </c>
      <c r="E17" s="57">
        <v>90.52</v>
      </c>
      <c r="F17" s="57">
        <v>106.98</v>
      </c>
      <c r="G17" s="57">
        <v>64.28</v>
      </c>
      <c r="H17" s="57">
        <v>82</v>
      </c>
      <c r="I17" s="57">
        <v>81.84</v>
      </c>
      <c r="J17" s="106"/>
      <c r="K17" s="73"/>
      <c r="L17" s="73"/>
    </row>
    <row r="18" spans="1:12" ht="16.2">
      <c r="A18" s="16" t="s">
        <v>133</v>
      </c>
      <c r="B18" s="57">
        <v>64</v>
      </c>
      <c r="C18" s="129">
        <v>98</v>
      </c>
      <c r="D18" s="57">
        <v>80</v>
      </c>
      <c r="E18" s="57">
        <v>68</v>
      </c>
      <c r="F18" s="57">
        <v>99</v>
      </c>
      <c r="G18" s="57">
        <v>60</v>
      </c>
      <c r="H18" s="57">
        <v>82</v>
      </c>
      <c r="I18" s="57">
        <v>77</v>
      </c>
      <c r="J18" s="106"/>
      <c r="K18" s="73"/>
      <c r="L18" s="73"/>
    </row>
    <row r="19" spans="1:12" ht="16.2">
      <c r="A19" s="16" t="s">
        <v>158</v>
      </c>
      <c r="B19" s="57">
        <v>58</v>
      </c>
      <c r="C19" s="57">
        <v>75</v>
      </c>
      <c r="D19" s="57">
        <v>80</v>
      </c>
      <c r="E19" s="57">
        <v>61</v>
      </c>
      <c r="F19" s="57">
        <v>93</v>
      </c>
      <c r="G19" s="57">
        <v>58</v>
      </c>
      <c r="H19" s="57">
        <v>80</v>
      </c>
      <c r="I19" s="57">
        <v>75</v>
      </c>
      <c r="J19" s="106"/>
      <c r="K19" s="73"/>
      <c r="L19" s="73"/>
    </row>
    <row r="20" spans="1:12" ht="13.8">
      <c r="A20" s="16"/>
      <c r="B20" s="69"/>
      <c r="C20" s="69"/>
      <c r="D20" s="69"/>
      <c r="E20" s="69"/>
      <c r="F20" s="69"/>
      <c r="G20" s="69"/>
      <c r="H20" s="69"/>
      <c r="I20" s="69"/>
    </row>
    <row r="21" spans="1:12" ht="13.8">
      <c r="A21" s="36" t="s">
        <v>37</v>
      </c>
      <c r="B21" s="57"/>
      <c r="C21" s="57"/>
      <c r="D21" s="57"/>
      <c r="E21" s="57"/>
      <c r="F21" s="57"/>
      <c r="G21" s="57"/>
      <c r="H21" s="57"/>
      <c r="I21" s="57"/>
      <c r="L21" s="106"/>
    </row>
    <row r="22" spans="1:12" ht="13.8">
      <c r="A22" s="16" t="s">
        <v>39</v>
      </c>
      <c r="B22" s="57">
        <v>70.42</v>
      </c>
      <c r="C22" s="57">
        <v>98.5</v>
      </c>
      <c r="D22" s="57">
        <v>129</v>
      </c>
      <c r="E22" s="57">
        <v>82.3</v>
      </c>
      <c r="F22" s="57">
        <v>101.5</v>
      </c>
      <c r="G22" s="57">
        <v>57.069999999999993</v>
      </c>
      <c r="H22" s="57" t="s">
        <v>75</v>
      </c>
      <c r="I22" s="57" t="s">
        <v>75</v>
      </c>
      <c r="K22" s="109"/>
      <c r="L22" s="108"/>
    </row>
    <row r="23" spans="1:12" ht="13.8">
      <c r="A23" s="16" t="s">
        <v>40</v>
      </c>
      <c r="B23" s="57">
        <v>66.459999999999994</v>
      </c>
      <c r="C23" s="57">
        <v>96.75</v>
      </c>
      <c r="D23" s="57">
        <v>125</v>
      </c>
      <c r="E23" s="57">
        <v>84.375</v>
      </c>
      <c r="F23" s="57">
        <v>100</v>
      </c>
      <c r="G23" s="57">
        <v>57.918000000000006</v>
      </c>
      <c r="H23" s="57" t="s">
        <v>75</v>
      </c>
      <c r="I23" s="57">
        <v>80.06</v>
      </c>
      <c r="K23" s="109"/>
      <c r="L23" s="109"/>
    </row>
    <row r="24" spans="1:12" ht="13.8">
      <c r="A24" s="16" t="s">
        <v>42</v>
      </c>
      <c r="B24" s="57">
        <v>63.69</v>
      </c>
      <c r="C24" s="57">
        <v>93.3</v>
      </c>
      <c r="D24" s="57">
        <v>125</v>
      </c>
      <c r="E24" s="57">
        <v>82.95</v>
      </c>
      <c r="F24" s="57">
        <v>100</v>
      </c>
      <c r="G24" s="57">
        <v>56.093333333333334</v>
      </c>
      <c r="H24" s="57" t="s">
        <v>75</v>
      </c>
      <c r="I24" s="57">
        <v>73</v>
      </c>
      <c r="K24" s="109"/>
      <c r="L24" s="109"/>
    </row>
    <row r="25" spans="1:12" ht="13.8">
      <c r="A25" s="16" t="s">
        <v>43</v>
      </c>
      <c r="B25" s="57">
        <v>65.7</v>
      </c>
      <c r="C25" s="57">
        <v>97.9375</v>
      </c>
      <c r="D25" s="57">
        <v>123.125</v>
      </c>
      <c r="E25" s="57">
        <v>88.5625</v>
      </c>
      <c r="F25" s="57">
        <v>103.125</v>
      </c>
      <c r="G25" s="57">
        <v>54.09</v>
      </c>
      <c r="H25" s="57" t="s">
        <v>75</v>
      </c>
      <c r="I25" s="57">
        <v>76.5</v>
      </c>
      <c r="K25" s="109"/>
    </row>
    <row r="26" spans="1:12" ht="13.8">
      <c r="A26" s="16" t="s">
        <v>44</v>
      </c>
      <c r="B26" s="57">
        <v>70.91</v>
      </c>
      <c r="C26" s="57">
        <v>101.375</v>
      </c>
      <c r="D26" s="57">
        <v>115.33333333333333</v>
      </c>
      <c r="E26" s="57">
        <v>85.875</v>
      </c>
      <c r="F26" s="57">
        <v>105</v>
      </c>
      <c r="G26" s="57">
        <v>59.29</v>
      </c>
      <c r="H26" s="57">
        <v>82</v>
      </c>
      <c r="I26" s="57">
        <v>80</v>
      </c>
    </row>
    <row r="27" spans="1:12" ht="13.8">
      <c r="A27" s="16" t="s">
        <v>46</v>
      </c>
      <c r="B27" s="57">
        <v>76.405000000000001</v>
      </c>
      <c r="C27" s="57">
        <v>114.875</v>
      </c>
      <c r="D27" s="57">
        <v>129</v>
      </c>
      <c r="E27" s="57">
        <v>92</v>
      </c>
      <c r="F27" s="57">
        <v>107.5</v>
      </c>
      <c r="G27" s="57">
        <v>67.1875</v>
      </c>
      <c r="H27" s="57" t="s">
        <v>75</v>
      </c>
      <c r="I27" s="57">
        <v>81.5</v>
      </c>
    </row>
    <row r="28" spans="1:12" ht="13.8">
      <c r="A28" s="16" t="s">
        <v>47</v>
      </c>
      <c r="B28" s="57">
        <v>83.846000000000004</v>
      </c>
      <c r="C28" s="57">
        <v>120.05</v>
      </c>
      <c r="D28" s="57">
        <v>120.4</v>
      </c>
      <c r="E28" s="57">
        <v>103.15</v>
      </c>
      <c r="F28" s="57">
        <v>115</v>
      </c>
      <c r="G28" s="57">
        <v>71.55</v>
      </c>
      <c r="H28" s="57" t="s">
        <v>75</v>
      </c>
      <c r="I28" s="57">
        <v>83.125</v>
      </c>
    </row>
    <row r="29" spans="1:12" ht="13.8">
      <c r="A29" s="16" t="s">
        <v>48</v>
      </c>
      <c r="B29" s="57">
        <v>87.385000000000005</v>
      </c>
      <c r="C29" s="57">
        <v>119.5625</v>
      </c>
      <c r="D29" s="57">
        <v>113.5</v>
      </c>
      <c r="E29" s="57">
        <v>108.6875</v>
      </c>
      <c r="F29" s="57">
        <v>116.25</v>
      </c>
      <c r="G29" s="57">
        <v>77.802499999999995</v>
      </c>
      <c r="H29" s="57" t="s">
        <v>75</v>
      </c>
      <c r="I29" s="57">
        <v>84.25</v>
      </c>
    </row>
    <row r="30" spans="1:12" ht="13.8">
      <c r="A30" s="16" t="s">
        <v>50</v>
      </c>
      <c r="B30" s="57">
        <v>80.297499999999999</v>
      </c>
      <c r="C30" s="57">
        <v>115.75</v>
      </c>
      <c r="D30" s="57">
        <v>97.75</v>
      </c>
      <c r="E30" s="57">
        <v>102.25</v>
      </c>
      <c r="F30" s="57">
        <v>116.25</v>
      </c>
      <c r="G30" s="57">
        <v>76.375</v>
      </c>
      <c r="H30" s="57" t="s">
        <v>75</v>
      </c>
      <c r="I30" s="57">
        <v>86.5</v>
      </c>
    </row>
    <row r="31" spans="1:12" ht="13.8">
      <c r="A31" s="16" t="s">
        <v>51</v>
      </c>
      <c r="B31" s="57">
        <v>67.74799999999999</v>
      </c>
      <c r="C31" s="57">
        <v>100.8</v>
      </c>
      <c r="D31" s="57">
        <v>78.2</v>
      </c>
      <c r="E31" s="57">
        <v>87.9</v>
      </c>
      <c r="F31" s="57">
        <v>103.2</v>
      </c>
      <c r="G31" s="57">
        <v>62.25</v>
      </c>
      <c r="H31" s="57" t="s">
        <v>75</v>
      </c>
      <c r="I31" s="57">
        <v>81.5</v>
      </c>
    </row>
    <row r="32" spans="1:12" ht="13.8">
      <c r="A32" s="16" t="s">
        <v>52</v>
      </c>
      <c r="B32" s="57">
        <v>72.334999999999994</v>
      </c>
      <c r="C32" s="57">
        <v>113.75</v>
      </c>
      <c r="D32" s="57">
        <v>92</v>
      </c>
      <c r="E32" s="57">
        <v>91.3125</v>
      </c>
      <c r="F32" s="57">
        <v>107.25</v>
      </c>
      <c r="G32" s="57">
        <v>65.4375</v>
      </c>
      <c r="H32" s="57" t="s">
        <v>75</v>
      </c>
      <c r="I32" s="57" t="s">
        <v>75</v>
      </c>
    </row>
    <row r="33" spans="1:12" ht="13.8">
      <c r="A33" s="16" t="s">
        <v>38</v>
      </c>
      <c r="B33" s="57">
        <v>70.626000000000005</v>
      </c>
      <c r="C33" s="57">
        <v>113.2</v>
      </c>
      <c r="D33" s="57">
        <v>88.4</v>
      </c>
      <c r="E33" s="57">
        <v>76.849999999999994</v>
      </c>
      <c r="F33" s="57">
        <v>111.6</v>
      </c>
      <c r="G33" s="57">
        <v>66.263999999999996</v>
      </c>
      <c r="H33" s="57" t="s">
        <v>75</v>
      </c>
      <c r="I33" s="57">
        <v>92</v>
      </c>
      <c r="K33" s="73"/>
      <c r="L33" s="73"/>
    </row>
    <row r="34" spans="1:12" ht="13.8">
      <c r="A34" s="16"/>
      <c r="B34" s="57"/>
      <c r="C34" s="57"/>
      <c r="D34" s="57"/>
      <c r="E34" s="57"/>
      <c r="F34" s="57"/>
      <c r="G34" s="57"/>
      <c r="H34" s="57"/>
      <c r="I34" s="57"/>
      <c r="K34" s="73"/>
      <c r="L34" s="73"/>
    </row>
    <row r="35" spans="1:12" ht="13.8">
      <c r="A35" s="36" t="s">
        <v>54</v>
      </c>
      <c r="B35" s="57"/>
      <c r="C35" s="57"/>
      <c r="D35" s="57"/>
      <c r="E35" s="57"/>
      <c r="F35" s="57"/>
      <c r="G35" s="57"/>
      <c r="H35" s="57"/>
      <c r="I35" s="57"/>
      <c r="K35" s="73"/>
      <c r="L35" s="73"/>
    </row>
    <row r="36" spans="1:12" ht="13.8">
      <c r="A36" s="16" t="s">
        <v>39</v>
      </c>
      <c r="B36" s="57">
        <v>72.67</v>
      </c>
      <c r="C36" s="57">
        <v>110.1875</v>
      </c>
      <c r="D36" s="57">
        <v>93.75</v>
      </c>
      <c r="E36" s="57">
        <v>80.125</v>
      </c>
      <c r="F36" s="57">
        <v>107.75</v>
      </c>
      <c r="G36" s="57">
        <v>65.412499999999994</v>
      </c>
      <c r="H36" s="57">
        <v>88</v>
      </c>
      <c r="I36" s="57">
        <v>88.5</v>
      </c>
      <c r="K36" s="73"/>
      <c r="L36" s="73"/>
    </row>
    <row r="37" spans="1:12" ht="13.8">
      <c r="A37" s="16" t="s">
        <v>40</v>
      </c>
      <c r="B37" s="57">
        <v>79.180000000000007</v>
      </c>
      <c r="C37" s="57">
        <v>116.6875</v>
      </c>
      <c r="D37" s="57">
        <v>106</v>
      </c>
      <c r="E37" s="57">
        <v>84.375</v>
      </c>
      <c r="F37" s="57">
        <v>111</v>
      </c>
      <c r="G37" s="57">
        <v>69.67</v>
      </c>
      <c r="H37" s="57" t="s">
        <v>75</v>
      </c>
      <c r="I37" s="57">
        <v>88.5</v>
      </c>
      <c r="K37" s="73"/>
      <c r="L37" s="73"/>
    </row>
    <row r="38" spans="1:12" ht="13.8">
      <c r="A38" s="16" t="s">
        <v>42</v>
      </c>
      <c r="B38" s="57">
        <v>68.14</v>
      </c>
      <c r="C38" s="57">
        <v>105.1</v>
      </c>
      <c r="D38" s="57">
        <v>92.3</v>
      </c>
      <c r="E38" s="57">
        <v>74.05</v>
      </c>
      <c r="F38" s="57">
        <v>101</v>
      </c>
      <c r="G38" s="57">
        <v>60</v>
      </c>
      <c r="H38" s="57" t="s">
        <v>75</v>
      </c>
      <c r="I38" s="57">
        <v>84</v>
      </c>
      <c r="K38" s="73"/>
      <c r="L38" s="73"/>
    </row>
    <row r="39" spans="1:12" ht="13.8">
      <c r="A39" s="16" t="s">
        <v>43</v>
      </c>
      <c r="B39" s="57">
        <v>66</v>
      </c>
      <c r="C39" s="57">
        <v>102.1875</v>
      </c>
      <c r="D39" s="57">
        <v>85.75</v>
      </c>
      <c r="E39" s="57">
        <v>71.1875</v>
      </c>
      <c r="F39" s="57">
        <v>95.375</v>
      </c>
      <c r="G39" s="57">
        <v>61</v>
      </c>
      <c r="H39" s="57">
        <v>87</v>
      </c>
      <c r="I39" s="57">
        <v>76.125</v>
      </c>
      <c r="K39" s="73"/>
      <c r="L39" s="73"/>
    </row>
    <row r="40" spans="1:12" ht="13.8">
      <c r="A40" s="16" t="s">
        <v>44</v>
      </c>
      <c r="B40" s="57">
        <v>63.242500000000007</v>
      </c>
      <c r="C40" s="57">
        <v>100</v>
      </c>
      <c r="D40" s="57">
        <v>81.25</v>
      </c>
      <c r="E40" s="57">
        <v>68.25</v>
      </c>
      <c r="F40" s="57">
        <v>88</v>
      </c>
      <c r="G40" s="57" t="s">
        <v>75</v>
      </c>
      <c r="H40" s="57" t="s">
        <v>75</v>
      </c>
      <c r="I40" s="57">
        <v>63.95</v>
      </c>
      <c r="K40" s="73"/>
      <c r="L40" s="73"/>
    </row>
    <row r="41" spans="1:12" ht="13.8">
      <c r="A41" s="16" t="s">
        <v>46</v>
      </c>
      <c r="B41" s="57">
        <v>58.83</v>
      </c>
      <c r="C41" s="57">
        <v>96.55</v>
      </c>
      <c r="D41" s="57">
        <v>76.599999999999994</v>
      </c>
      <c r="E41" s="57">
        <v>64.599999999999994</v>
      </c>
      <c r="F41" s="57">
        <v>84.4</v>
      </c>
      <c r="G41" s="57" t="s">
        <v>75</v>
      </c>
      <c r="H41" s="57" t="s">
        <v>75</v>
      </c>
      <c r="I41" s="57">
        <v>66.25</v>
      </c>
      <c r="K41" s="73"/>
      <c r="L41" s="73"/>
    </row>
    <row r="42" spans="1:12" ht="13.8">
      <c r="A42" s="16" t="s">
        <v>47</v>
      </c>
      <c r="B42" s="57">
        <v>55.474999999999994</v>
      </c>
      <c r="C42" s="57">
        <v>92.5625</v>
      </c>
      <c r="D42" s="57">
        <v>73</v>
      </c>
      <c r="E42" s="57">
        <v>62.625</v>
      </c>
      <c r="F42" s="57">
        <v>81.75</v>
      </c>
      <c r="G42" s="57" t="s">
        <v>75</v>
      </c>
      <c r="H42" s="57">
        <v>82</v>
      </c>
      <c r="I42" s="57" t="s">
        <v>75</v>
      </c>
      <c r="K42" s="73"/>
      <c r="L42" s="73"/>
    </row>
    <row r="43" spans="1:12" ht="13.8">
      <c r="A43" s="15" t="s">
        <v>48</v>
      </c>
      <c r="B43" s="14">
        <v>52.484999999999999</v>
      </c>
      <c r="C43" s="14">
        <v>91.75</v>
      </c>
      <c r="D43" s="14">
        <v>68.625</v>
      </c>
      <c r="E43" s="14">
        <v>62.125</v>
      </c>
      <c r="F43" s="14">
        <v>85.5</v>
      </c>
      <c r="G43" s="14">
        <v>52</v>
      </c>
      <c r="H43" s="14" t="s">
        <v>75</v>
      </c>
      <c r="I43" s="14" t="s">
        <v>75</v>
      </c>
      <c r="K43" s="73"/>
      <c r="L43" s="73"/>
    </row>
    <row r="44" spans="1:12" ht="16.2">
      <c r="A44" s="49" t="s">
        <v>134</v>
      </c>
      <c r="B44" s="71"/>
      <c r="C44" s="71"/>
      <c r="D44" s="71"/>
      <c r="E44" s="71"/>
      <c r="F44" s="71"/>
      <c r="G44" s="71"/>
      <c r="H44" s="71"/>
      <c r="I44" s="71"/>
    </row>
    <row r="45" spans="1:12" ht="16.2">
      <c r="A45" s="16" t="s">
        <v>135</v>
      </c>
      <c r="B45" s="71"/>
      <c r="C45" s="71"/>
      <c r="D45" s="71"/>
      <c r="E45" s="71"/>
      <c r="F45" s="71"/>
      <c r="G45" s="71"/>
      <c r="H45" s="71"/>
      <c r="I45" s="71"/>
    </row>
    <row r="46" spans="1:12" ht="14.4">
      <c r="A46" s="16" t="s">
        <v>153</v>
      </c>
      <c r="B46" s="16"/>
      <c r="C46" s="16"/>
      <c r="D46" s="16"/>
      <c r="E46" s="16"/>
      <c r="F46" s="71"/>
      <c r="G46" s="16"/>
      <c r="H46" s="16"/>
      <c r="I46" s="16"/>
    </row>
    <row r="47" spans="1:12" ht="13.8">
      <c r="A47" s="21" t="s">
        <v>56</v>
      </c>
      <c r="B47" s="43">
        <f>Contents!A16</f>
        <v>45090</v>
      </c>
      <c r="C47" s="16"/>
      <c r="D47" s="16"/>
      <c r="E47" s="16"/>
      <c r="F47" s="16"/>
      <c r="G47" s="16"/>
      <c r="H47" s="16"/>
      <c r="I47" s="16"/>
    </row>
    <row r="48" spans="1:12" ht="15.6">
      <c r="C48" s="72"/>
      <c r="G48" s="72"/>
      <c r="H48" s="72"/>
      <c r="I48" s="72"/>
    </row>
    <row r="49" spans="2:9" ht="15.6">
      <c r="B49" s="73"/>
      <c r="C49" s="73"/>
      <c r="D49" s="73"/>
      <c r="E49" s="73"/>
      <c r="F49" s="73"/>
      <c r="G49" s="73"/>
      <c r="H49" s="72"/>
      <c r="I49" s="72"/>
    </row>
    <row r="50" spans="2:9" ht="15.6">
      <c r="B50" s="110"/>
      <c r="C50" s="110"/>
      <c r="D50" s="110"/>
      <c r="E50" s="110"/>
      <c r="F50" s="110"/>
      <c r="G50" s="110"/>
      <c r="H50" s="72"/>
      <c r="I50" s="72"/>
    </row>
    <row r="51" spans="2:9" ht="15.6">
      <c r="C51" s="72"/>
      <c r="G51" s="72"/>
      <c r="H51" s="72"/>
      <c r="I51" s="72"/>
    </row>
    <row r="52" spans="2:9" ht="15.6">
      <c r="C52" s="72"/>
      <c r="G52" s="72"/>
      <c r="H52" s="72"/>
      <c r="I52" s="72"/>
    </row>
    <row r="53" spans="2:9" ht="15.6">
      <c r="C53" s="72"/>
      <c r="G53" s="72"/>
      <c r="H53" s="72"/>
      <c r="I53" s="72"/>
    </row>
    <row r="54" spans="2:9" ht="15.6">
      <c r="C54" s="72"/>
      <c r="G54" s="72"/>
      <c r="H54" s="72"/>
      <c r="I54" s="72"/>
    </row>
    <row r="55" spans="2:9" ht="15.6">
      <c r="C55" s="72"/>
      <c r="G55" s="72"/>
      <c r="H55" s="72"/>
      <c r="I55" s="72"/>
    </row>
    <row r="56" spans="2:9" ht="15.6">
      <c r="C56" s="72"/>
      <c r="G56" s="72"/>
      <c r="H56" s="72"/>
      <c r="I56" s="72"/>
    </row>
    <row r="57" spans="2:9" ht="15.6">
      <c r="C57" s="72"/>
      <c r="G57" s="72"/>
      <c r="H57" s="72"/>
      <c r="I57" s="72"/>
    </row>
    <row r="58" spans="2:9" ht="15.6">
      <c r="C58" s="72"/>
      <c r="G58" s="72"/>
      <c r="H58" s="72"/>
      <c r="I58" s="72"/>
    </row>
    <row r="59" spans="2:9" ht="15.6">
      <c r="C59" s="72"/>
      <c r="G59" s="72"/>
      <c r="H59" s="72"/>
      <c r="I59" s="72"/>
    </row>
    <row r="60" spans="2:9" ht="15.6">
      <c r="C60" s="72"/>
      <c r="G60" s="72"/>
      <c r="H60" s="72"/>
      <c r="I60" s="72"/>
    </row>
    <row r="61" spans="2:9" ht="15.6">
      <c r="C61" s="72"/>
      <c r="G61" s="72"/>
      <c r="H61" s="72"/>
      <c r="I61" s="72"/>
    </row>
    <row r="62" spans="2:9" ht="15.6">
      <c r="C62" s="72"/>
      <c r="G62" s="72"/>
      <c r="H62" s="72"/>
      <c r="I62" s="72"/>
    </row>
    <row r="63" spans="2:9" ht="15.6">
      <c r="C63" s="72"/>
      <c r="G63" s="72"/>
      <c r="H63" s="72"/>
      <c r="I63" s="72"/>
    </row>
    <row r="64" spans="2:9" ht="15.6">
      <c r="C64" s="72"/>
      <c r="H64" s="72"/>
      <c r="I64" s="72"/>
    </row>
    <row r="65" spans="3:9" ht="15.6">
      <c r="C65" s="72"/>
      <c r="H65" s="72"/>
      <c r="I65" s="72"/>
    </row>
    <row r="66" spans="3:9" ht="15.6">
      <c r="C66" s="72"/>
      <c r="F66" s="73"/>
      <c r="H66" s="72"/>
      <c r="I66" s="72"/>
    </row>
    <row r="67" spans="3:9" ht="15.6">
      <c r="F67" s="73"/>
      <c r="H67" s="72"/>
      <c r="I67" s="72"/>
    </row>
  </sheetData>
  <phoneticPr fontId="29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7"/>
  <sheetViews>
    <sheetView showGridLines="0" zoomScale="70" zoomScaleNormal="70" workbookViewId="0"/>
  </sheetViews>
  <sheetFormatPr defaultColWidth="9.109375" defaultRowHeight="13.2"/>
  <cols>
    <col min="1" max="1" width="11.6640625" customWidth="1"/>
    <col min="2" max="7" width="13.6640625" customWidth="1"/>
    <col min="8" max="8" width="10.10937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>
      <c r="A1" s="15" t="s">
        <v>10</v>
      </c>
      <c r="B1" s="15"/>
      <c r="C1" s="15"/>
      <c r="D1" s="15"/>
      <c r="E1" s="15"/>
      <c r="F1" s="15"/>
      <c r="G1" s="15"/>
    </row>
    <row r="2" spans="1:28" ht="15.6" customHeight="1">
      <c r="A2" s="16" t="s">
        <v>93</v>
      </c>
      <c r="B2" s="18" t="s">
        <v>118</v>
      </c>
      <c r="C2" s="74" t="s">
        <v>119</v>
      </c>
      <c r="D2" s="74" t="s">
        <v>120</v>
      </c>
      <c r="E2" s="74" t="s">
        <v>122</v>
      </c>
      <c r="F2" s="18" t="s">
        <v>136</v>
      </c>
      <c r="G2" s="18" t="s">
        <v>137</v>
      </c>
      <c r="AB2" s="75"/>
    </row>
    <row r="3" spans="1:28" ht="15.6" customHeight="1">
      <c r="A3" s="15" t="s">
        <v>100</v>
      </c>
      <c r="B3" s="24" t="s">
        <v>138</v>
      </c>
      <c r="C3" s="24" t="s">
        <v>139</v>
      </c>
      <c r="D3" s="24" t="s">
        <v>140</v>
      </c>
      <c r="E3" s="24" t="s">
        <v>141</v>
      </c>
      <c r="F3" s="24" t="s">
        <v>142</v>
      </c>
      <c r="G3" s="24" t="s">
        <v>143</v>
      </c>
      <c r="AB3" s="75"/>
    </row>
    <row r="4" spans="1:28" ht="14.4">
      <c r="A4" s="67" t="s">
        <v>144</v>
      </c>
      <c r="C4" s="68"/>
      <c r="D4" s="68"/>
      <c r="E4" s="68"/>
      <c r="F4" s="68"/>
      <c r="G4" s="68"/>
      <c r="AB4" s="75"/>
    </row>
    <row r="5" spans="1:28" ht="13.8">
      <c r="A5" s="16"/>
      <c r="B5" s="16"/>
      <c r="C5" s="16"/>
      <c r="D5" s="16"/>
      <c r="E5" s="16"/>
      <c r="F5" s="16"/>
      <c r="G5" s="16"/>
      <c r="AB5" s="75"/>
    </row>
    <row r="6" spans="1:28" ht="13.8">
      <c r="A6" s="16" t="s">
        <v>105</v>
      </c>
      <c r="B6" s="70">
        <v>345.52</v>
      </c>
      <c r="C6" s="70">
        <v>273.83999999999997</v>
      </c>
      <c r="D6" s="70">
        <v>219.72</v>
      </c>
      <c r="E6" s="61" t="s">
        <v>75</v>
      </c>
      <c r="F6" s="70">
        <v>263.63</v>
      </c>
      <c r="G6" s="70">
        <v>240.65</v>
      </c>
      <c r="AB6" s="75"/>
    </row>
    <row r="7" spans="1:28" ht="13.8">
      <c r="A7" s="16" t="s">
        <v>106</v>
      </c>
      <c r="B7" s="70">
        <v>393.53</v>
      </c>
      <c r="C7" s="70">
        <v>275.13</v>
      </c>
      <c r="D7" s="70">
        <v>246.75</v>
      </c>
      <c r="E7" s="61" t="s">
        <v>75</v>
      </c>
      <c r="F7" s="70">
        <v>307.58999999999997</v>
      </c>
      <c r="G7" s="70">
        <v>265.68</v>
      </c>
      <c r="AB7" s="75"/>
    </row>
    <row r="8" spans="1:28" ht="13.8">
      <c r="A8" s="16" t="s">
        <v>107</v>
      </c>
      <c r="B8" s="70">
        <v>468.11</v>
      </c>
      <c r="C8" s="70">
        <v>331.52</v>
      </c>
      <c r="D8" s="70">
        <v>241.57</v>
      </c>
      <c r="E8" s="61" t="s">
        <v>75</v>
      </c>
      <c r="F8" s="70">
        <v>354.22</v>
      </c>
      <c r="G8" s="70">
        <v>329.31</v>
      </c>
      <c r="AB8" s="75"/>
    </row>
    <row r="9" spans="1:28" ht="13.8">
      <c r="A9" s="16" t="s">
        <v>108</v>
      </c>
      <c r="B9" s="70">
        <v>489.94</v>
      </c>
      <c r="C9" s="70">
        <v>377.71</v>
      </c>
      <c r="D9" s="70">
        <v>238.87</v>
      </c>
      <c r="E9" s="61" t="s">
        <v>75</v>
      </c>
      <c r="F9" s="70">
        <v>359.7</v>
      </c>
      <c r="G9" s="70">
        <v>337.23</v>
      </c>
      <c r="AB9" s="75"/>
    </row>
    <row r="10" spans="1:28" ht="13.8">
      <c r="A10" s="16" t="s">
        <v>109</v>
      </c>
      <c r="B10" s="70">
        <v>368.49</v>
      </c>
      <c r="C10" s="70">
        <v>304.27</v>
      </c>
      <c r="D10" s="70">
        <v>209.97</v>
      </c>
      <c r="E10" s="61" t="s">
        <v>75</v>
      </c>
      <c r="F10" s="70">
        <v>301.2</v>
      </c>
      <c r="G10" s="70">
        <v>256.58</v>
      </c>
      <c r="AB10" s="75"/>
    </row>
    <row r="11" spans="1:28" ht="13.8">
      <c r="A11" s="16" t="s">
        <v>110</v>
      </c>
      <c r="B11" s="70">
        <v>324.56</v>
      </c>
      <c r="C11" s="70">
        <v>261.19</v>
      </c>
      <c r="D11" s="70">
        <v>153.16999999999999</v>
      </c>
      <c r="E11" s="61" t="s">
        <v>75</v>
      </c>
      <c r="F11" s="70">
        <v>262.2</v>
      </c>
      <c r="G11" s="70">
        <v>260.23</v>
      </c>
      <c r="AB11" s="75"/>
    </row>
    <row r="12" spans="1:28" ht="13.8">
      <c r="A12" s="16" t="s">
        <v>111</v>
      </c>
      <c r="B12" s="70">
        <v>316.88</v>
      </c>
      <c r="C12" s="70">
        <v>208.61</v>
      </c>
      <c r="D12" s="70">
        <v>145.1</v>
      </c>
      <c r="E12" s="61" t="s">
        <v>75</v>
      </c>
      <c r="F12" s="70">
        <v>267.94</v>
      </c>
      <c r="G12" s="70">
        <v>282.49</v>
      </c>
      <c r="AB12" s="75"/>
    </row>
    <row r="13" spans="1:28" ht="13.8">
      <c r="A13" s="16" t="s">
        <v>112</v>
      </c>
      <c r="B13" s="70">
        <v>345.02</v>
      </c>
      <c r="C13" s="70">
        <v>260.88</v>
      </c>
      <c r="D13" s="70">
        <v>173.53</v>
      </c>
      <c r="E13" s="61" t="s">
        <v>75</v>
      </c>
      <c r="F13" s="70">
        <v>291.14999999999998</v>
      </c>
      <c r="G13" s="70">
        <v>239.15</v>
      </c>
    </row>
    <row r="14" spans="1:28" ht="13.8">
      <c r="A14" s="16" t="s">
        <v>113</v>
      </c>
      <c r="B14" s="70">
        <v>308.27999999999997</v>
      </c>
      <c r="C14" s="70">
        <v>228.64</v>
      </c>
      <c r="D14" s="70">
        <v>164.16</v>
      </c>
      <c r="E14" s="61" t="s">
        <v>75</v>
      </c>
      <c r="F14" s="70">
        <v>272.38</v>
      </c>
      <c r="G14" s="70">
        <v>225.77</v>
      </c>
    </row>
    <row r="15" spans="1:28" ht="13.8">
      <c r="A15" s="16" t="s">
        <v>114</v>
      </c>
      <c r="B15" s="70">
        <v>299.5</v>
      </c>
      <c r="C15" s="70">
        <v>247.04</v>
      </c>
      <c r="D15" s="70">
        <v>187.7</v>
      </c>
      <c r="E15" s="61" t="s">
        <v>75</v>
      </c>
      <c r="F15" s="70">
        <v>273.99</v>
      </c>
      <c r="G15" s="70">
        <v>245.88</v>
      </c>
    </row>
    <row r="16" spans="1:28" ht="13.8">
      <c r="A16" s="16" t="s">
        <v>34</v>
      </c>
      <c r="B16" s="70">
        <v>392.31</v>
      </c>
      <c r="C16" s="70">
        <v>375.51</v>
      </c>
      <c r="D16" s="122">
        <v>246.22</v>
      </c>
      <c r="E16" s="61" t="s">
        <v>75</v>
      </c>
      <c r="F16" s="70">
        <v>351.87</v>
      </c>
      <c r="G16" s="70">
        <v>288.12</v>
      </c>
    </row>
    <row r="17" spans="1:13" ht="13.8">
      <c r="A17" s="16" t="s">
        <v>37</v>
      </c>
      <c r="B17" s="70">
        <v>439.81</v>
      </c>
      <c r="C17" s="70">
        <v>355.33</v>
      </c>
      <c r="D17" s="70">
        <v>279.98</v>
      </c>
      <c r="E17" s="61" t="s">
        <v>75</v>
      </c>
      <c r="F17" s="70">
        <v>439.1</v>
      </c>
      <c r="G17" s="70">
        <v>332.21</v>
      </c>
    </row>
    <row r="18" spans="1:13" ht="16.2">
      <c r="A18" s="16" t="s">
        <v>133</v>
      </c>
      <c r="B18" s="70">
        <v>455</v>
      </c>
      <c r="C18" s="70">
        <v>385</v>
      </c>
      <c r="D18" s="70">
        <v>265</v>
      </c>
      <c r="E18" s="61" t="s">
        <v>75</v>
      </c>
      <c r="F18" s="70">
        <v>425</v>
      </c>
      <c r="G18" s="122">
        <v>370</v>
      </c>
      <c r="I18" s="73"/>
    </row>
    <row r="19" spans="1:13" ht="16.2">
      <c r="A19" s="16" t="s">
        <v>158</v>
      </c>
      <c r="B19" s="70">
        <v>365</v>
      </c>
      <c r="C19" s="70">
        <v>335</v>
      </c>
      <c r="D19" s="70">
        <v>215</v>
      </c>
      <c r="E19" s="61" t="s">
        <v>75</v>
      </c>
      <c r="F19" s="70">
        <v>335</v>
      </c>
      <c r="G19" s="122">
        <v>265</v>
      </c>
      <c r="I19" s="73"/>
    </row>
    <row r="20" spans="1:13" ht="13.8">
      <c r="A20" s="16"/>
      <c r="B20" s="70"/>
      <c r="C20" s="70"/>
      <c r="D20" s="70"/>
      <c r="E20" s="61"/>
      <c r="F20" s="70"/>
      <c r="G20" s="70"/>
      <c r="I20" s="76"/>
      <c r="J20" s="77"/>
      <c r="K20" s="77"/>
      <c r="L20" s="77"/>
      <c r="M20" s="77"/>
    </row>
    <row r="21" spans="1:13" ht="13.8">
      <c r="A21" s="36" t="s">
        <v>37</v>
      </c>
      <c r="B21" s="70"/>
      <c r="C21" s="70"/>
      <c r="D21" s="70"/>
      <c r="E21" s="57"/>
      <c r="F21" s="70"/>
      <c r="G21" s="70"/>
      <c r="H21" s="57"/>
    </row>
    <row r="22" spans="1:13" ht="13.8">
      <c r="A22" s="16" t="s">
        <v>39</v>
      </c>
      <c r="B22" s="70">
        <v>325.43</v>
      </c>
      <c r="C22" s="70">
        <v>298.75</v>
      </c>
      <c r="D22" s="70">
        <v>222.5</v>
      </c>
      <c r="E22" s="61" t="s">
        <v>75</v>
      </c>
      <c r="F22" s="70">
        <v>322.82499999999999</v>
      </c>
      <c r="G22" s="70">
        <v>265.625</v>
      </c>
      <c r="H22" s="57"/>
      <c r="I22" s="73"/>
    </row>
    <row r="23" spans="1:13" ht="13.8">
      <c r="A23" s="16" t="s">
        <v>40</v>
      </c>
      <c r="B23" s="70">
        <v>358.73</v>
      </c>
      <c r="C23" s="70">
        <v>304.5</v>
      </c>
      <c r="D23" s="70">
        <v>256.5</v>
      </c>
      <c r="E23" s="61" t="s">
        <v>75</v>
      </c>
      <c r="F23" s="70">
        <v>350.21999999999997</v>
      </c>
      <c r="G23" s="70">
        <v>252</v>
      </c>
      <c r="H23" s="57"/>
      <c r="I23" s="73"/>
    </row>
    <row r="24" spans="1:13" ht="13.8">
      <c r="A24" s="16" t="s">
        <v>42</v>
      </c>
      <c r="B24" s="70">
        <v>399.53</v>
      </c>
      <c r="C24" s="70">
        <v>311.25</v>
      </c>
      <c r="D24" s="70">
        <v>289.16666666666669</v>
      </c>
      <c r="E24" s="61" t="s">
        <v>75</v>
      </c>
      <c r="F24" s="70">
        <v>382.9666666666667</v>
      </c>
      <c r="G24" s="70">
        <v>309.16666666666669</v>
      </c>
      <c r="H24" s="57"/>
      <c r="I24" s="73"/>
    </row>
    <row r="25" spans="1:13" ht="13.8">
      <c r="A25" s="16" t="s">
        <v>145</v>
      </c>
      <c r="B25" s="70">
        <v>421.21</v>
      </c>
      <c r="C25" s="70">
        <v>318.125</v>
      </c>
      <c r="D25" s="70">
        <v>301.25</v>
      </c>
      <c r="E25" s="61" t="s">
        <v>75</v>
      </c>
      <c r="F25" s="70">
        <v>410.875</v>
      </c>
      <c r="G25" s="70">
        <v>326.25</v>
      </c>
      <c r="H25" s="57"/>
      <c r="I25" s="73"/>
    </row>
    <row r="26" spans="1:13" ht="13.8">
      <c r="A26" s="16" t="s">
        <v>44</v>
      </c>
      <c r="B26" s="122">
        <v>460.45</v>
      </c>
      <c r="C26" s="70">
        <v>333.75</v>
      </c>
      <c r="D26" s="70">
        <v>320</v>
      </c>
      <c r="E26" s="61" t="s">
        <v>75</v>
      </c>
      <c r="F26" s="70">
        <v>454.625</v>
      </c>
      <c r="G26" s="70">
        <v>350</v>
      </c>
      <c r="H26" s="57"/>
      <c r="I26" s="73"/>
    </row>
    <row r="27" spans="1:13" ht="13.8">
      <c r="A27" s="16" t="s">
        <v>46</v>
      </c>
      <c r="B27" s="122">
        <v>493.97500000000002</v>
      </c>
      <c r="C27" s="70">
        <v>345.625</v>
      </c>
      <c r="D27" s="70">
        <v>333.33300000000003</v>
      </c>
      <c r="E27" s="61" t="s">
        <v>75</v>
      </c>
      <c r="F27" s="70">
        <v>487.03750000000002</v>
      </c>
      <c r="G27" s="70">
        <v>392.5</v>
      </c>
      <c r="H27" s="57"/>
      <c r="I27" s="73"/>
    </row>
    <row r="28" spans="1:13" ht="13.8">
      <c r="A28" s="16" t="s">
        <v>47</v>
      </c>
      <c r="B28" s="122">
        <v>475.35999999999996</v>
      </c>
      <c r="C28" s="70">
        <v>355</v>
      </c>
      <c r="D28" s="70">
        <v>321</v>
      </c>
      <c r="E28" s="61" t="s">
        <v>75</v>
      </c>
      <c r="F28" s="70">
        <v>470.77999999999992</v>
      </c>
      <c r="G28" s="70">
        <v>386</v>
      </c>
      <c r="H28" s="57"/>
      <c r="I28" s="73"/>
    </row>
    <row r="29" spans="1:13" ht="13.8">
      <c r="A29" s="16" t="s">
        <v>48</v>
      </c>
      <c r="B29" s="122">
        <v>441.27499999999998</v>
      </c>
      <c r="C29" s="70">
        <v>388.75</v>
      </c>
      <c r="D29" s="70">
        <v>285.625</v>
      </c>
      <c r="E29" s="61" t="s">
        <v>75</v>
      </c>
      <c r="F29" s="70">
        <v>454.5</v>
      </c>
      <c r="G29" s="70">
        <v>351.25</v>
      </c>
      <c r="H29" s="57"/>
      <c r="I29" s="73"/>
    </row>
    <row r="30" spans="1:13" ht="13.8">
      <c r="A30" s="16" t="s">
        <v>50</v>
      </c>
      <c r="B30" s="122">
        <v>445.92499999999995</v>
      </c>
      <c r="C30" s="70">
        <v>383.75</v>
      </c>
      <c r="D30" s="70">
        <v>281.875</v>
      </c>
      <c r="E30" s="61" t="s">
        <v>75</v>
      </c>
      <c r="F30" s="70">
        <v>478.17499999999995</v>
      </c>
      <c r="G30" s="70">
        <v>322.5</v>
      </c>
      <c r="H30" s="57"/>
      <c r="I30" s="73"/>
    </row>
    <row r="31" spans="1:13" ht="13.8">
      <c r="A31" s="16" t="s">
        <v>51</v>
      </c>
      <c r="B31" s="122">
        <v>467.87</v>
      </c>
      <c r="C31" s="70">
        <v>369.5</v>
      </c>
      <c r="D31" s="70">
        <v>268.5</v>
      </c>
      <c r="E31" s="61" t="s">
        <v>75</v>
      </c>
      <c r="F31" s="70">
        <v>501.17999999999995</v>
      </c>
      <c r="G31" s="70">
        <v>351.5</v>
      </c>
      <c r="H31" s="57"/>
      <c r="I31" s="73"/>
    </row>
    <row r="32" spans="1:13" ht="13.8">
      <c r="A32" s="16" t="s">
        <v>52</v>
      </c>
      <c r="B32" s="122">
        <v>510.90000000000009</v>
      </c>
      <c r="C32" s="70">
        <v>405</v>
      </c>
      <c r="D32" s="70">
        <v>255</v>
      </c>
      <c r="E32" s="61" t="s">
        <v>75</v>
      </c>
      <c r="F32" s="70">
        <v>521.52500000000009</v>
      </c>
      <c r="G32" s="70">
        <v>347.5</v>
      </c>
      <c r="H32" s="57"/>
      <c r="I32" s="73"/>
    </row>
    <row r="33" spans="1:10" ht="13.8">
      <c r="A33" s="16" t="s">
        <v>38</v>
      </c>
      <c r="B33" s="122">
        <v>473.93999999999994</v>
      </c>
      <c r="C33" s="70">
        <v>450</v>
      </c>
      <c r="D33" s="70">
        <v>225</v>
      </c>
      <c r="E33" s="61" t="s">
        <v>75</v>
      </c>
      <c r="F33" s="70">
        <v>434.53999999999996</v>
      </c>
      <c r="G33" s="70" t="s">
        <v>75</v>
      </c>
      <c r="H33" s="57"/>
    </row>
    <row r="34" spans="1:10" ht="13.8">
      <c r="A34" s="16"/>
      <c r="B34" s="122"/>
      <c r="C34" s="70"/>
      <c r="D34" s="70"/>
      <c r="E34" s="61"/>
      <c r="F34" s="70"/>
      <c r="G34" s="70"/>
      <c r="H34" s="57"/>
    </row>
    <row r="35" spans="1:10" ht="13.8">
      <c r="A35" s="36" t="s">
        <v>54</v>
      </c>
      <c r="B35" s="122"/>
      <c r="C35" s="70"/>
      <c r="D35" s="70"/>
      <c r="E35" s="61"/>
      <c r="F35" s="70"/>
      <c r="G35" s="70"/>
      <c r="H35" s="57"/>
    </row>
    <row r="36" spans="1:10" ht="13.8">
      <c r="A36" s="16" t="s">
        <v>39</v>
      </c>
      <c r="B36" s="122">
        <v>468.67499999999995</v>
      </c>
      <c r="C36" s="70">
        <v>451.875</v>
      </c>
      <c r="D36" s="70" t="s">
        <v>75</v>
      </c>
      <c r="E36" s="61" t="s">
        <v>75</v>
      </c>
      <c r="F36" s="70">
        <v>409.17499999999995</v>
      </c>
      <c r="G36" s="70" t="s">
        <v>75</v>
      </c>
      <c r="H36" s="57"/>
    </row>
    <row r="37" spans="1:10" ht="13.8">
      <c r="A37" s="16" t="s">
        <v>40</v>
      </c>
      <c r="B37" s="122">
        <v>436.74999999999994</v>
      </c>
      <c r="C37" s="70">
        <v>405</v>
      </c>
      <c r="D37" s="70" t="s">
        <v>75</v>
      </c>
      <c r="E37" s="61" t="s">
        <v>75</v>
      </c>
      <c r="F37" s="70">
        <v>402.99999999999994</v>
      </c>
      <c r="G37" s="70">
        <v>357.5</v>
      </c>
      <c r="H37" s="57"/>
      <c r="I37" s="73"/>
    </row>
    <row r="38" spans="1:10" ht="13.8">
      <c r="A38" s="16" t="s">
        <v>42</v>
      </c>
      <c r="B38" s="122">
        <v>462.85</v>
      </c>
      <c r="C38" s="70">
        <v>390.625</v>
      </c>
      <c r="D38" s="70">
        <v>200</v>
      </c>
      <c r="E38" s="61" t="s">
        <v>75</v>
      </c>
      <c r="F38" s="70">
        <v>437.09999999999997</v>
      </c>
      <c r="G38" s="70">
        <v>368.5</v>
      </c>
      <c r="H38" s="57"/>
      <c r="I38" s="73"/>
    </row>
    <row r="39" spans="1:10" ht="13.8">
      <c r="A39" s="16" t="s">
        <v>43</v>
      </c>
      <c r="B39" s="122">
        <v>482.40000000000003</v>
      </c>
      <c r="C39" s="70">
        <v>386.25</v>
      </c>
      <c r="D39" s="70">
        <v>355</v>
      </c>
      <c r="E39" s="61" t="s">
        <v>75</v>
      </c>
      <c r="F39" s="70">
        <v>474.02500000000003</v>
      </c>
      <c r="G39" s="70">
        <v>397.5</v>
      </c>
      <c r="I39" s="73"/>
    </row>
    <row r="40" spans="1:10" ht="13.8">
      <c r="A40" s="16" t="s">
        <v>44</v>
      </c>
      <c r="B40" s="122">
        <v>500.52499999999998</v>
      </c>
      <c r="C40" s="70">
        <v>392.5</v>
      </c>
      <c r="D40" s="70">
        <v>336.25</v>
      </c>
      <c r="E40" s="61" t="s">
        <v>75</v>
      </c>
      <c r="F40" s="70">
        <v>501.02499999999998</v>
      </c>
      <c r="G40" s="70">
        <v>412.5</v>
      </c>
      <c r="I40" s="73"/>
    </row>
    <row r="41" spans="1:10" ht="13.8">
      <c r="A41" s="16" t="s">
        <v>46</v>
      </c>
      <c r="B41" s="122">
        <v>484.4</v>
      </c>
      <c r="C41" s="70">
        <v>386.25</v>
      </c>
      <c r="D41" s="70">
        <v>308</v>
      </c>
      <c r="E41" s="61" t="s">
        <v>75</v>
      </c>
      <c r="F41" s="70">
        <v>466.6</v>
      </c>
      <c r="G41" s="70">
        <v>380.4</v>
      </c>
      <c r="I41" s="73"/>
    </row>
    <row r="42" spans="1:10" ht="13.8">
      <c r="A42" s="16" t="s">
        <v>47</v>
      </c>
      <c r="B42" s="122">
        <v>457.25</v>
      </c>
      <c r="C42" s="70">
        <v>364.375</v>
      </c>
      <c r="D42" s="70">
        <v>252.5</v>
      </c>
      <c r="E42" s="61" t="s">
        <v>75</v>
      </c>
      <c r="F42" s="70">
        <v>434.75</v>
      </c>
      <c r="G42" s="70">
        <v>352.5</v>
      </c>
      <c r="I42" s="73"/>
    </row>
    <row r="43" spans="1:10" ht="13.8">
      <c r="A43" s="15" t="s">
        <v>48</v>
      </c>
      <c r="B43" s="123">
        <v>423.57499999999999</v>
      </c>
      <c r="C43" s="121">
        <v>370.625</v>
      </c>
      <c r="D43" s="121">
        <v>237.5</v>
      </c>
      <c r="E43" s="103" t="s">
        <v>75</v>
      </c>
      <c r="F43" s="121">
        <v>407.02500000000003</v>
      </c>
      <c r="G43" s="121">
        <v>352.5</v>
      </c>
      <c r="I43" s="73"/>
    </row>
    <row r="44" spans="1:10" ht="16.2">
      <c r="A44" s="49" t="s">
        <v>146</v>
      </c>
      <c r="B44" s="78"/>
      <c r="C44" s="78"/>
      <c r="D44" s="78"/>
      <c r="E44" s="78"/>
      <c r="F44" s="78"/>
      <c r="G44" s="78"/>
      <c r="I44" s="76"/>
    </row>
    <row r="45" spans="1:10" ht="16.2">
      <c r="A45" s="49" t="s">
        <v>147</v>
      </c>
      <c r="B45" s="79"/>
      <c r="C45" s="79"/>
      <c r="D45" s="79"/>
      <c r="E45" s="79"/>
      <c r="F45" s="79"/>
      <c r="G45" s="79"/>
      <c r="I45" s="76"/>
      <c r="J45" s="76"/>
    </row>
    <row r="46" spans="1:10" ht="14.4">
      <c r="A46" s="16" t="s">
        <v>154</v>
      </c>
      <c r="B46" s="16"/>
      <c r="C46" s="16"/>
      <c r="D46" s="16"/>
      <c r="E46" s="16"/>
      <c r="F46" s="79"/>
      <c r="G46" s="79"/>
      <c r="I46" s="76"/>
      <c r="J46" s="76"/>
    </row>
    <row r="47" spans="1:10" ht="13.8">
      <c r="A47" s="21" t="s">
        <v>56</v>
      </c>
      <c r="B47" s="43">
        <f>Contents!A16</f>
        <v>45090</v>
      </c>
      <c r="C47" s="16"/>
      <c r="D47" s="16"/>
      <c r="E47" s="16"/>
      <c r="F47" s="79"/>
      <c r="G47" s="79"/>
      <c r="I47" s="80"/>
      <c r="J47" s="80"/>
    </row>
    <row r="48" spans="1:10" ht="13.8">
      <c r="F48" s="79"/>
      <c r="G48" s="79"/>
      <c r="I48" s="80"/>
      <c r="J48" s="80"/>
    </row>
    <row r="49" spans="2:10" ht="13.8">
      <c r="F49" s="79"/>
      <c r="G49" s="79"/>
      <c r="I49" s="76"/>
      <c r="J49" s="76"/>
    </row>
    <row r="50" spans="2:10">
      <c r="B50" s="73"/>
      <c r="I50" s="76"/>
      <c r="J50" s="76"/>
    </row>
    <row r="51" spans="2:10">
      <c r="I51" s="76"/>
      <c r="J51" s="76"/>
    </row>
    <row r="52" spans="2:10">
      <c r="I52" s="76"/>
      <c r="J52" s="76"/>
    </row>
    <row r="53" spans="2:10">
      <c r="I53" s="76"/>
      <c r="J53" s="76"/>
    </row>
    <row r="54" spans="2:10">
      <c r="I54" s="76"/>
      <c r="J54" s="76"/>
    </row>
    <row r="56" spans="2:10">
      <c r="I56" s="81"/>
      <c r="J56" s="81"/>
    </row>
    <row r="57" spans="2:10">
      <c r="I57" s="81"/>
      <c r="J57" s="81"/>
    </row>
  </sheetData>
  <phoneticPr fontId="29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1B4A8-D2E6-435C-A08F-663738F5C381}">
  <dimension ref="A1:H28"/>
  <sheetViews>
    <sheetView zoomScaleNormal="100" workbookViewId="0">
      <selection activeCell="J29" sqref="J29"/>
    </sheetView>
  </sheetViews>
  <sheetFormatPr defaultColWidth="9.109375" defaultRowHeight="13.2"/>
  <cols>
    <col min="1" max="1" width="12.6640625" style="113" bestFit="1" customWidth="1"/>
    <col min="2" max="2" width="12.88671875" style="113" customWidth="1"/>
    <col min="3" max="3" width="11.5546875" style="113" customWidth="1"/>
    <col min="4" max="4" width="12.6640625" style="113" customWidth="1"/>
    <col min="5" max="5" width="10.6640625" style="113" bestFit="1" customWidth="1"/>
    <col min="6" max="6" width="10.6640625" style="113" customWidth="1"/>
    <col min="8" max="16384" width="9.109375" style="113"/>
  </cols>
  <sheetData>
    <row r="1" spans="1:8" ht="26.4">
      <c r="A1" s="119" t="s">
        <v>148</v>
      </c>
      <c r="B1" s="119" t="s">
        <v>163</v>
      </c>
      <c r="C1" s="119" t="s">
        <v>164</v>
      </c>
      <c r="D1" s="119" t="s">
        <v>195</v>
      </c>
      <c r="E1" s="119" t="s">
        <v>166</v>
      </c>
      <c r="F1" s="119" t="s">
        <v>194</v>
      </c>
    </row>
    <row r="2" spans="1:8">
      <c r="A2" s="126" t="s">
        <v>107</v>
      </c>
      <c r="B2" s="157">
        <v>17.291</v>
      </c>
      <c r="C2" s="157">
        <v>20.225000000000001</v>
      </c>
      <c r="D2" s="128">
        <v>12.411</v>
      </c>
      <c r="E2" s="158">
        <v>3.8250000000000002</v>
      </c>
      <c r="F2" s="158">
        <v>4.6599999999999895</v>
      </c>
      <c r="G2" s="114"/>
      <c r="H2" s="132"/>
    </row>
    <row r="3" spans="1:8">
      <c r="A3" s="126" t="s">
        <v>108</v>
      </c>
      <c r="B3" s="157">
        <v>21.677</v>
      </c>
      <c r="C3" s="157">
        <v>20.79</v>
      </c>
      <c r="D3" s="128">
        <v>13.967000000000001</v>
      </c>
      <c r="E3" s="158">
        <v>2.504</v>
      </c>
      <c r="F3" s="158">
        <v>5.0680000000000049</v>
      </c>
      <c r="G3" s="114"/>
      <c r="H3" s="132"/>
    </row>
    <row r="4" spans="1:8">
      <c r="A4" s="126" t="s">
        <v>109</v>
      </c>
      <c r="B4" s="157">
        <v>27.068999999999999</v>
      </c>
      <c r="C4" s="157">
        <v>24.498000000000001</v>
      </c>
      <c r="D4" s="128">
        <v>17.059999999999999</v>
      </c>
      <c r="E4" s="158">
        <v>5.1879999999999997</v>
      </c>
      <c r="F4" s="158">
        <v>5.644999999999996</v>
      </c>
      <c r="G4" s="114"/>
      <c r="H4" s="132"/>
    </row>
    <row r="5" spans="1:8">
      <c r="A5" s="126" t="s">
        <v>110</v>
      </c>
      <c r="B5" s="157">
        <v>27.155999999999999</v>
      </c>
      <c r="C5" s="157">
        <v>23.803000000000001</v>
      </c>
      <c r="D5" s="128">
        <v>16.643000000000001</v>
      </c>
      <c r="E5" s="158">
        <v>5.3540000000000001</v>
      </c>
      <c r="F5" s="158">
        <v>6.5150000000000006</v>
      </c>
      <c r="G5" s="114"/>
      <c r="H5" s="132"/>
    </row>
    <row r="6" spans="1:8">
      <c r="A6" s="120" t="s">
        <v>111</v>
      </c>
      <c r="B6" s="157">
        <v>26.995999999999999</v>
      </c>
      <c r="C6" s="157">
        <v>32.631999999999998</v>
      </c>
      <c r="D6" s="128">
        <v>20.12</v>
      </c>
      <c r="E6" s="158">
        <v>8.2080000000000002</v>
      </c>
      <c r="F6" s="158">
        <v>7.5660000000000025</v>
      </c>
      <c r="G6" s="114"/>
      <c r="H6" s="132"/>
    </row>
    <row r="7" spans="1:8">
      <c r="A7" s="120" t="s">
        <v>112</v>
      </c>
      <c r="B7" s="157">
        <v>23.734000000000002</v>
      </c>
      <c r="C7" s="157">
        <v>33.030999999999999</v>
      </c>
      <c r="D7" s="128">
        <v>22.562000000000001</v>
      </c>
      <c r="E7" s="158">
        <v>11.923</v>
      </c>
      <c r="F7" s="158">
        <v>8.3850000000000051</v>
      </c>
      <c r="G7" s="114"/>
      <c r="H7" s="132"/>
    </row>
    <row r="8" spans="1:8">
      <c r="A8" s="120" t="s">
        <v>113</v>
      </c>
      <c r="B8" s="157">
        <v>28.89</v>
      </c>
      <c r="C8" s="157">
        <v>33.341999999999999</v>
      </c>
      <c r="D8" s="128">
        <v>18.350000000000001</v>
      </c>
      <c r="E8" s="158">
        <v>24.74</v>
      </c>
      <c r="F8" s="158">
        <v>8.76400000000001</v>
      </c>
      <c r="G8" s="114"/>
      <c r="H8" s="132"/>
    </row>
    <row r="9" spans="1:8">
      <c r="A9" s="120" t="s">
        <v>114</v>
      </c>
      <c r="B9" s="157">
        <v>26.65</v>
      </c>
      <c r="C9" s="157">
        <v>20.419</v>
      </c>
      <c r="D9" s="128">
        <v>24.484000000000002</v>
      </c>
      <c r="E9" s="158">
        <v>14.276</v>
      </c>
      <c r="F9" s="158">
        <v>9.14</v>
      </c>
      <c r="G9" s="114"/>
      <c r="H9" s="132"/>
    </row>
    <row r="10" spans="1:8">
      <c r="A10" s="120" t="s">
        <v>34</v>
      </c>
      <c r="B10" s="157">
        <v>25.06</v>
      </c>
      <c r="C10" s="157">
        <v>29.579000000000001</v>
      </c>
      <c r="D10" s="128">
        <v>30.856000000000002</v>
      </c>
      <c r="E10" s="158">
        <v>6.9939999999999998</v>
      </c>
      <c r="F10" s="158">
        <v>7.5739999999999981</v>
      </c>
      <c r="G10" s="114"/>
      <c r="H10" s="132"/>
    </row>
    <row r="11" spans="1:8">
      <c r="A11" s="117" t="s">
        <v>37</v>
      </c>
      <c r="B11" s="157">
        <v>23.902999999999999</v>
      </c>
      <c r="C11" s="157">
        <v>27.597999999999999</v>
      </c>
      <c r="D11" s="128">
        <v>30.315000000000001</v>
      </c>
      <c r="E11" s="158">
        <v>7.468</v>
      </c>
      <c r="F11" s="158">
        <v>9.4439999999999884</v>
      </c>
      <c r="G11" s="114"/>
      <c r="H11" s="132"/>
    </row>
    <row r="12" spans="1:8">
      <c r="A12" s="117" t="s">
        <v>159</v>
      </c>
      <c r="B12" s="157">
        <v>17.553000000000001</v>
      </c>
      <c r="C12" s="157">
        <v>33.548000000000002</v>
      </c>
      <c r="D12" s="128">
        <v>35.795000000000002</v>
      </c>
      <c r="E12" s="158">
        <v>6.266</v>
      </c>
      <c r="F12" s="158">
        <v>8.157999999999987</v>
      </c>
      <c r="G12" s="114"/>
      <c r="H12" s="132"/>
    </row>
    <row r="13" spans="1:8">
      <c r="A13" s="117" t="s">
        <v>149</v>
      </c>
      <c r="B13" s="157">
        <v>23.952999999999999</v>
      </c>
      <c r="C13" s="157">
        <v>40.798000000000002</v>
      </c>
      <c r="D13" s="128">
        <v>38.195</v>
      </c>
      <c r="E13" s="158">
        <v>9.5169999999999995</v>
      </c>
      <c r="F13" s="158">
        <v>10.879000000000005</v>
      </c>
      <c r="G13" s="114"/>
      <c r="H13" s="132"/>
    </row>
    <row r="14" spans="1:8">
      <c r="B14" s="145"/>
      <c r="C14" s="146"/>
      <c r="D14" s="146"/>
      <c r="E14" s="146"/>
      <c r="F14" s="146"/>
      <c r="G14" s="114"/>
    </row>
    <row r="15" spans="1:8">
      <c r="B15" s="131"/>
      <c r="C15" s="131"/>
      <c r="D15" s="131"/>
      <c r="E15" s="131"/>
      <c r="F15" s="131"/>
    </row>
    <row r="16" spans="1:8">
      <c r="B16" s="131"/>
      <c r="C16" s="131"/>
      <c r="D16" s="131"/>
      <c r="E16" s="131"/>
      <c r="F16" s="131"/>
    </row>
    <row r="17" spans="2:6">
      <c r="B17" s="131"/>
      <c r="C17" s="131"/>
      <c r="D17" s="131"/>
      <c r="E17" s="131"/>
      <c r="F17" s="131"/>
    </row>
    <row r="18" spans="2:6">
      <c r="B18" s="131"/>
      <c r="C18" s="131"/>
      <c r="D18" s="131"/>
      <c r="E18" s="131"/>
      <c r="F18" s="131"/>
    </row>
    <row r="19" spans="2:6">
      <c r="B19" s="131"/>
      <c r="C19" s="131"/>
      <c r="D19" s="131"/>
      <c r="E19" s="131"/>
      <c r="F19" s="131"/>
    </row>
    <row r="20" spans="2:6">
      <c r="B20" s="131"/>
      <c r="C20" s="131"/>
      <c r="D20" s="131"/>
      <c r="E20" s="131"/>
      <c r="F20" s="131"/>
    </row>
    <row r="21" spans="2:6">
      <c r="B21" s="131"/>
      <c r="C21" s="131"/>
      <c r="D21" s="131"/>
      <c r="E21" s="131"/>
      <c r="F21" s="131"/>
    </row>
    <row r="22" spans="2:6">
      <c r="B22" s="131"/>
      <c r="C22" s="131"/>
      <c r="D22" s="131"/>
      <c r="E22" s="131"/>
      <c r="F22" s="131"/>
    </row>
    <row r="23" spans="2:6">
      <c r="B23" s="131"/>
      <c r="C23" s="131"/>
      <c r="D23" s="131"/>
      <c r="E23" s="131"/>
      <c r="F23" s="131"/>
    </row>
    <row r="24" spans="2:6">
      <c r="B24" s="131"/>
      <c r="C24" s="131"/>
      <c r="D24" s="131"/>
      <c r="E24" s="131"/>
      <c r="F24" s="131"/>
    </row>
    <row r="25" spans="2:6">
      <c r="B25" s="131"/>
      <c r="C25" s="131"/>
      <c r="D25" s="131"/>
      <c r="E25" s="131"/>
      <c r="F25" s="131"/>
    </row>
    <row r="26" spans="2:6">
      <c r="B26" s="131"/>
      <c r="C26" s="131"/>
      <c r="D26" s="131"/>
      <c r="E26" s="131"/>
      <c r="F26" s="131"/>
    </row>
    <row r="27" spans="2:6">
      <c r="B27" s="131"/>
      <c r="C27" s="131"/>
      <c r="D27" s="131"/>
      <c r="E27" s="131"/>
      <c r="F27" s="131"/>
    </row>
    <row r="28" spans="2:6">
      <c r="B28" s="131"/>
      <c r="C28" s="131"/>
      <c r="D28" s="131"/>
      <c r="E28" s="131"/>
      <c r="F28" s="131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F9FD27-698A-4259-BC06-6D4A65A05AE8}">
  <ds:schemaRefs>
    <ds:schemaRef ds:uri="http://www.w3.org/XML/1998/namespace"/>
    <ds:schemaRef ds:uri="7818c5c2-d41f-4dce-801c-4e3595afcb3f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c49de858-f9fd-4eb6-bcba-50396646711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D9E4D74-FC99-4A2B-8BE6-0E26371C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2023-06-12T20:58:38Z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