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58376E47-43B4-41A3-BABA-2F1535747B15}" xr6:coauthVersionLast="44" xr6:coauthVersionMax="44" xr10:uidLastSave="{00000000-0000-0000-0000-000000000000}"/>
  <bookViews>
    <workbookView xWindow="-110" yWindow="-110" windowWidth="19420" windowHeight="1042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1'!$A$1:$N$43</definedName>
    <definedName name="_xlnm.Print_Area" localSheetId="7">'Table 10'!$A$1:$G$41</definedName>
    <definedName name="_xlnm.Print_Area" localSheetId="2">'Table 2'!$A$1:$J$33</definedName>
    <definedName name="_xlnm.Print_Area" localSheetId="3">'Table 3'!$A$1:$M$48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9" l="1"/>
  <c r="J30" i="2" l="1"/>
  <c r="C30" i="2"/>
  <c r="L31" i="9"/>
  <c r="J37" i="1"/>
  <c r="L37" i="1" l="1"/>
  <c r="G37" i="1"/>
  <c r="H30" i="2" l="1"/>
  <c r="D30" i="2"/>
  <c r="J31" i="9"/>
  <c r="D31" i="9"/>
  <c r="H32" i="9" l="1"/>
  <c r="I32" i="9"/>
  <c r="J32" i="9"/>
  <c r="D32" i="9"/>
  <c r="C32" i="9"/>
  <c r="I30" i="9"/>
  <c r="B31" i="9"/>
  <c r="E31" i="9" s="1"/>
  <c r="K31" i="9" s="1"/>
  <c r="G31" i="9" s="1"/>
  <c r="H31" i="2"/>
  <c r="D31" i="2"/>
  <c r="C31" i="2"/>
  <c r="E30" i="2"/>
  <c r="I30" i="2" s="1"/>
  <c r="G30" i="2" s="1"/>
  <c r="G31" i="2" s="1"/>
  <c r="B30" i="2"/>
  <c r="M28" i="1"/>
  <c r="L28" i="1"/>
  <c r="K28" i="1"/>
  <c r="J28" i="1"/>
  <c r="H28" i="1"/>
  <c r="F39" i="1"/>
  <c r="E38" i="1"/>
  <c r="L38" i="1"/>
  <c r="L39" i="1" s="1"/>
  <c r="J38" i="1"/>
  <c r="J39" i="1" s="1"/>
  <c r="G38" i="1"/>
  <c r="H38" i="1" s="1"/>
  <c r="M38" i="1" s="1"/>
  <c r="G39" i="1" l="1"/>
  <c r="H39" i="1" s="1"/>
  <c r="K32" i="9"/>
  <c r="I31" i="2"/>
  <c r="K38" i="1"/>
  <c r="J30" i="9"/>
  <c r="D30" i="9"/>
  <c r="H29" i="2"/>
  <c r="D29" i="2"/>
  <c r="L36" i="1"/>
  <c r="G36" i="1"/>
  <c r="L27" i="9" l="1"/>
  <c r="L22" i="9"/>
  <c r="C26" i="2"/>
  <c r="C21" i="2"/>
  <c r="J32" i="1"/>
  <c r="J26" i="1"/>
  <c r="L30" i="9" l="1"/>
  <c r="L29" i="9"/>
  <c r="J29" i="2"/>
  <c r="C29" i="2"/>
  <c r="J36" i="1"/>
  <c r="B30" i="9" l="1"/>
  <c r="E30" i="9" s="1"/>
  <c r="K30" i="9" s="1"/>
  <c r="G30" i="9" l="1"/>
  <c r="B52" i="3"/>
  <c r="H28" i="2" l="1"/>
  <c r="D28" i="2"/>
  <c r="D29" i="9"/>
  <c r="J29" i="9"/>
  <c r="L35" i="1"/>
  <c r="G35" i="1"/>
  <c r="J35" i="1" l="1"/>
  <c r="J28" i="2"/>
  <c r="B29" i="2" s="1"/>
  <c r="E29" i="2" s="1"/>
  <c r="I29" i="2" s="1"/>
  <c r="G29" i="2" s="1"/>
  <c r="C28" i="2"/>
  <c r="F34" i="1" l="1"/>
  <c r="D27" i="2" l="1"/>
  <c r="H27" i="2"/>
  <c r="J28" i="9"/>
  <c r="D28" i="9"/>
  <c r="G33" i="1"/>
  <c r="L33" i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I27" i="2" s="1"/>
  <c r="G27" i="2" s="1"/>
  <c r="E34" i="1"/>
  <c r="D27" i="9" l="1"/>
  <c r="J27" i="9"/>
  <c r="H26" i="2"/>
  <c r="D26" i="2"/>
  <c r="L32" i="1"/>
  <c r="G32" i="1"/>
  <c r="B28" i="9" l="1"/>
  <c r="E28" i="9" s="1"/>
  <c r="K28" i="9" s="1"/>
  <c r="G28" i="9" s="1"/>
  <c r="I28" i="9" s="1"/>
  <c r="L23" i="9"/>
  <c r="B11" i="2"/>
  <c r="B7" i="2"/>
  <c r="B12" i="9"/>
  <c r="J23" i="9" l="1"/>
  <c r="D23" i="9"/>
  <c r="D22" i="2"/>
  <c r="H22" i="2"/>
  <c r="L31" i="1"/>
  <c r="L34" i="1" s="1"/>
  <c r="G31" i="1"/>
  <c r="G34" i="1" s="1"/>
  <c r="B27" i="9" l="1"/>
  <c r="E27" i="9" s="1"/>
  <c r="B23" i="9"/>
  <c r="E23" i="9" s="1"/>
  <c r="J22" i="9"/>
  <c r="D22" i="9"/>
  <c r="J22" i="2"/>
  <c r="B26" i="2" s="1"/>
  <c r="J21" i="2"/>
  <c r="C22" i="2"/>
  <c r="B22" i="2"/>
  <c r="E22" i="2" s="1"/>
  <c r="I22" i="2" s="1"/>
  <c r="C24" i="9"/>
  <c r="C8" i="9" s="1"/>
  <c r="H24" i="9"/>
  <c r="H8" i="9" s="1"/>
  <c r="J31" i="1"/>
  <c r="J34" i="1" s="1"/>
  <c r="F8" i="1"/>
  <c r="D8" i="1" s="1"/>
  <c r="H34" i="1"/>
  <c r="E7" i="1"/>
  <c r="M34" i="1" l="1"/>
  <c r="M39" i="1" s="1"/>
  <c r="E26" i="2"/>
  <c r="I26" i="2" s="1"/>
  <c r="E31" i="2"/>
  <c r="G26" i="2"/>
  <c r="K27" i="9"/>
  <c r="E32" i="9"/>
  <c r="J7" i="2"/>
  <c r="B8" i="2" s="1"/>
  <c r="L8" i="9"/>
  <c r="G22" i="2"/>
  <c r="K23" i="9"/>
  <c r="G23" i="9" s="1"/>
  <c r="I23" i="9" s="1"/>
  <c r="B44" i="1"/>
  <c r="K34" i="1" l="1"/>
  <c r="K39" i="1" s="1"/>
  <c r="G27" i="9"/>
  <c r="H21" i="2"/>
  <c r="D21" i="2"/>
  <c r="G26" i="1"/>
  <c r="L26" i="1"/>
  <c r="I27" i="9" l="1"/>
  <c r="J20" i="2"/>
  <c r="C20" i="2"/>
  <c r="J25" i="1"/>
  <c r="L21" i="9"/>
  <c r="N7" i="1" l="1"/>
  <c r="E27" i="1" l="1"/>
  <c r="B22" i="9" l="1"/>
  <c r="E22" i="9" s="1"/>
  <c r="K22" i="9" s="1"/>
  <c r="B21" i="2"/>
  <c r="F28" i="1"/>
  <c r="F7" i="1" s="1"/>
  <c r="E21" i="2" l="1"/>
  <c r="I21" i="2" s="1"/>
  <c r="G21" i="2" s="1"/>
  <c r="G22" i="9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7" i="3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/>
  <c r="D17" i="9"/>
  <c r="C16" i="2"/>
  <c r="J16" i="2"/>
  <c r="B17" i="2" s="1"/>
  <c r="D16" i="2"/>
  <c r="H16" i="2"/>
  <c r="H46" i="3" l="1"/>
  <c r="N46" i="3" s="1"/>
  <c r="L46" i="3" s="1"/>
  <c r="E48" i="3"/>
  <c r="H48" i="3" s="1"/>
  <c r="N48" i="3" s="1"/>
  <c r="L48" i="3" s="1"/>
  <c r="E47" i="3"/>
  <c r="H47" i="3" s="1"/>
  <c r="N47" i="3" s="1"/>
  <c r="L47" i="3" s="1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E21" i="3" s="1"/>
  <c r="I21" i="3" s="1"/>
  <c r="G21" i="3" s="1"/>
  <c r="B9" i="3"/>
  <c r="E9" i="3" s="1"/>
  <c r="J9" i="3" s="1"/>
  <c r="I9" i="3" s="1"/>
  <c r="B8" i="3"/>
  <c r="E8" i="3" s="1"/>
  <c r="J8" i="3" s="1"/>
  <c r="I8" i="3" s="1"/>
  <c r="E35" i="3"/>
  <c r="I35" i="3" s="1"/>
  <c r="G35" i="3" s="1"/>
  <c r="E33" i="3"/>
  <c r="I33" i="3" s="1"/>
  <c r="G33" i="3" s="1"/>
  <c r="E20" i="3"/>
  <c r="I20" i="3" s="1"/>
  <c r="G20" i="3" s="1"/>
  <c r="E7" i="3"/>
  <c r="J7" i="3" s="1"/>
  <c r="I7" i="3" s="1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9" i="9"/>
  <c r="E9" i="9" s="1"/>
  <c r="K9" i="9" s="1"/>
  <c r="G9" i="9" s="1"/>
  <c r="I9" i="9" s="1"/>
  <c r="B8" i="9"/>
  <c r="E8" i="1"/>
  <c r="H8" i="1" s="1"/>
  <c r="M8" i="1" s="1"/>
  <c r="K8" i="1" s="1"/>
  <c r="H6" i="1"/>
  <c r="M6" i="1" s="1"/>
  <c r="K6" i="1" s="1"/>
  <c r="E8" i="2"/>
  <c r="I8" i="2" s="1"/>
  <c r="G8" i="2" s="1"/>
  <c r="D7" i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7" i="2" s="1"/>
  <c r="H14" i="2"/>
  <c r="H23" i="2" s="1"/>
  <c r="H7" i="2" s="1"/>
  <c r="J15" i="9"/>
  <c r="J24" i="9" s="1"/>
  <c r="J8" i="9" s="1"/>
  <c r="D15" i="9"/>
  <c r="D24" i="9" s="1"/>
  <c r="D8" i="9" s="1"/>
  <c r="E8" i="9" s="1"/>
  <c r="K8" i="9" s="1"/>
  <c r="L17" i="1"/>
  <c r="L19" i="1" s="1"/>
  <c r="G17" i="1"/>
  <c r="G8" i="9" l="1"/>
  <c r="I8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7" i="2" s="1"/>
  <c r="E7" i="2" s="1"/>
  <c r="I7" i="2" s="1"/>
  <c r="G7" i="2" s="1"/>
  <c r="B13" i="9"/>
  <c r="E13" i="9" s="1"/>
  <c r="K13" i="9" s="1"/>
  <c r="G13" i="9" s="1"/>
  <c r="I13" i="9" s="1"/>
  <c r="B12" i="2"/>
  <c r="E12" i="2" s="1"/>
  <c r="I12" i="2" s="1"/>
  <c r="G12" i="2" s="1"/>
  <c r="J15" i="1"/>
  <c r="J7" i="1" s="1"/>
  <c r="L15" i="1"/>
  <c r="L7" i="1" s="1"/>
  <c r="G15" i="1"/>
  <c r="G28" i="1" s="1"/>
  <c r="G7" i="1" l="1"/>
  <c r="H7" i="1" s="1"/>
  <c r="M7" i="1" s="1"/>
  <c r="K7" i="1" s="1"/>
  <c r="E11" i="2"/>
  <c r="E24" i="9"/>
  <c r="H15" i="1"/>
  <c r="B43" i="6"/>
  <c r="B42" i="5"/>
  <c r="B42" i="4"/>
  <c r="B35" i="9"/>
  <c r="B34" i="2"/>
  <c r="A5" i="10"/>
  <c r="E7" i="9"/>
  <c r="K7" i="9" s="1"/>
  <c r="E6" i="2"/>
  <c r="I6" i="2" s="1"/>
  <c r="G6" i="2" s="1"/>
  <c r="M15" i="1" l="1"/>
  <c r="I11" i="2"/>
  <c r="I23" i="2" s="1"/>
  <c r="E23" i="2"/>
  <c r="G7" i="9"/>
  <c r="I7" i="9" s="1"/>
  <c r="G11" i="2"/>
  <c r="G23" i="2" s="1"/>
  <c r="E12" i="9"/>
  <c r="K12" i="9" s="1"/>
  <c r="K24" i="9" s="1"/>
  <c r="K15" i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<sst xmlns="http://schemas.openxmlformats.org/spreadsheetml/2006/main" count="567" uniqueCount="241">
  <si>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</si>
  <si>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</si>
  <si>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</si>
  <si>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</si>
  <si>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</si>
  <si>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</si>
  <si>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</si>
  <si>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</si>
  <si>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</si>
  <si>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</si>
  <si>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</si>
  <si>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</si>
  <si>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</si>
  <si>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</si>
  <si>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</si>
  <si>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</si>
  <si>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</si>
  <si>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</si>
  <si>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</si>
  <si>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</si>
  <si>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</si>
  <si>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</si>
  <si>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</si>
  <si>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</si>
  <si>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</si>
  <si>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</si>
  <si>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</si>
  <si>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</si>
  <si>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</si>
  <si>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</si>
  <si>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</si>
  <si>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</si>
  <si>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</si>
  <si>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</si>
  <si>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</si>
  <si>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</si>
  <si>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</si>
  <si>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</si>
  <si>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</si>
  <si>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</si>
  <si>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</si>
  <si>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</si>
  <si>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</si>
  <si>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</si>
  <si>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</si>
  <si>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</si>
  <si>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</si>
  <si>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</si>
  <si>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</si>
  <si>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</si>
  <si>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</si>
  <si>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</si>
  <si>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</si>
  <si>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</si>
  <si>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</si>
  <si>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</si>
  <si>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</si>
  <si>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</si>
  <si>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</si>
  <si>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</si>
  <si>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</si>
  <si>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</si>
  <si>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</si>
  <si>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</si>
  <si>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</si>
  <si>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</si>
  <si>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</si>
  <si>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</si>
  <si>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</si>
  <si>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</si>
  <si>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</si>
  <si>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</si>
  <si>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</si>
  <si>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</si>
  <si>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</si>
  <si>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</si>
  <si>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</si>
  <si>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</si>
  <si>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</si>
  <si>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</si>
  <si>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</si>
  <si>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</si>
  <si>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</si>
  <si>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</si>
  <si>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</si>
  <si>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</si>
  <si>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</si>
  <si>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</si>
  <si>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</si>
  <si>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</si>
  <si>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</si>
  <si>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</si>
  <si>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</si>
  <si>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</si>
  <si>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</si>
  <si>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</si>
  <si>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</si>
  <si>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</si>
  <si>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</si>
  <si>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</si>
  <si>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</si>
  <si>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</si>
  <si>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</si>
  <si>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</si>
  <si>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</si>
  <si>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</si>
  <si>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</si>
  <si>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</si>
  <si>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</si>
  <si>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</si>
  <si>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</si>
  <si>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</si>
  <si>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</si>
  <si>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</si>
  <si>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</si>
  <si>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</si>
  <si>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</si>
  <si>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</si>
  <si>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</si>
  <si>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</si>
  <si>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</si>
  <si>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</si>
  <si>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</si>
  <si>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</si>
  <si>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</si>
  <si>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</si>
  <si>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</si>
  <si>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</si>
  <si>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</si>
  <si>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</si>
  <si>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</si>
  <si>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</si>
  <si>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</si>
  <si>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</si>
  <si>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</si>
  <si>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</si>
  <si>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</si>
  <si>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</si>
  <si>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</si>
  <si>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</si>
  <si>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</si>
  <si>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</si>
  <si>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</si>
  <si>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</si>
  <si>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</si>
  <si>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</si>
  <si>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</si>
  <si>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</si>
  <si>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</si>
  <si>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</si>
  <si>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</si>
  <si>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</si>
  <si>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</si>
  <si>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</si>
  <si>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</si>
  <si>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Soybean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</si>
  <si>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</si>
  <si>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</si>
  <si>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</si>
  <si>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</si>
  <si>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</si>
  <si>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</si>
  <si>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</si>
  <si>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t xml:space="preserve">Contact: Mark Ash at mark.ash@usda.gov   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</si>
  <si>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</si>
  <si>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</si>
  <si>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</si>
  <si>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 xml:space="preserve">Source:  USDA, Foreign Agricultural Service, </t>
    </r>
    <r>
      <rPr>
        <i/>
        <sz val="11"/>
        <rFont val="Arial"/>
        <family val="2"/>
      </rPr>
      <t>Production, Supply, and Distribution Online.</t>
    </r>
  </si>
  <si>
    <t>Soybean oil</t>
  </si>
  <si>
    <t>Oct 3</t>
  </si>
  <si>
    <t>Oct 10</t>
  </si>
  <si>
    <t>Oct 17</t>
  </si>
  <si>
    <t>Oct 24</t>
  </si>
  <si>
    <t>Oct 31</t>
  </si>
  <si>
    <t>Nov 7</t>
  </si>
  <si>
    <t>Nov 14</t>
  </si>
  <si>
    <t>Nov 21</t>
  </si>
  <si>
    <t>Nov 28</t>
  </si>
  <si>
    <t>Dec 5</t>
  </si>
  <si>
    <t>Dec 12</t>
  </si>
  <si>
    <t>Dec 19</t>
  </si>
  <si>
    <t>Dec 26</t>
  </si>
  <si>
    <t>Jan 2</t>
  </si>
  <si>
    <t>Jan 9</t>
  </si>
  <si>
    <t>Jan 16</t>
  </si>
  <si>
    <t>Jan 23</t>
  </si>
  <si>
    <t>Jan 30</t>
  </si>
  <si>
    <t>Feb 6</t>
  </si>
  <si>
    <t>Feb 13</t>
  </si>
  <si>
    <t>Feb 20</t>
  </si>
  <si>
    <t>Feb 27</t>
  </si>
  <si>
    <t>Mar 5</t>
  </si>
  <si>
    <t>Mar 12</t>
  </si>
  <si>
    <t>Mar 19</t>
  </si>
  <si>
    <t>Mar 26</t>
  </si>
  <si>
    <t>Apr 2</t>
  </si>
  <si>
    <t>Apr 9</t>
  </si>
  <si>
    <t>Apr 16</t>
  </si>
  <si>
    <t>Apr 23</t>
  </si>
  <si>
    <t>Apr 30</t>
  </si>
  <si>
    <t>May 7</t>
  </si>
  <si>
    <t>May 14</t>
  </si>
  <si>
    <t>May 21</t>
  </si>
  <si>
    <t>May 28</t>
  </si>
  <si>
    <t>Jun 4</t>
  </si>
  <si>
    <t>Jun 11</t>
  </si>
  <si>
    <t>Jun 18</t>
  </si>
  <si>
    <t>Jun 25</t>
  </si>
  <si>
    <t>Jul 2</t>
  </si>
  <si>
    <t>Jul 9</t>
  </si>
  <si>
    <t>Jul 16</t>
  </si>
  <si>
    <t>Jul 23</t>
  </si>
  <si>
    <t>Jul 30</t>
  </si>
  <si>
    <t>Aug 6</t>
  </si>
  <si>
    <t>Aug 13</t>
  </si>
  <si>
    <t>Aug 20</t>
  </si>
  <si>
    <t>Aug 27</t>
  </si>
  <si>
    <t>U.S. soybean oil</t>
  </si>
  <si>
    <t>export</t>
  </si>
  <si>
    <t>commitments</t>
  </si>
  <si>
    <t>Argentina</t>
  </si>
  <si>
    <t>Price</t>
  </si>
  <si>
    <t>Cents/lb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</si>
  <si>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</si>
  <si>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</si>
  <si>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</si>
  <si>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</si>
  <si>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</si>
  <si>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</si>
  <si>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</si>
  <si>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</si>
  <si>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</si>
  <si>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</si>
  <si>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</si>
  <si>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 crush</t>
  </si>
  <si>
    <t xml:space="preserve">Soybean meal </t>
  </si>
  <si>
    <t>exports</t>
  </si>
  <si>
    <t>Sep 5</t>
  </si>
  <si>
    <t>Sep 12</t>
  </si>
  <si>
    <t>Sep 19</t>
  </si>
  <si>
    <t>Sep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</si>
</sst>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  <numFmt numFmtId="177" formatCode="[$-409]mmm\ yy;@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0" fillId="0" borderId="0" xfId="0" applyNumberFormat="1" applyProtection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64" fontId="1" fillId="0" borderId="0" xfId="1" applyNumberFormat="1" applyFont="1" applyProtection="1"/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2" fontId="0" fillId="0" borderId="0" xfId="1" quotePrefix="1" applyNumberFormat="1" applyFont="1" applyProtection="1"/>
    <xf numFmtId="171" fontId="13" fillId="0" borderId="1" xfId="1" applyNumberFormat="1" applyFont="1" applyBorder="1" applyAlignment="1">
      <alignment horizontal="left" indent="1"/>
    </xf>
    <xf numFmtId="177" fontId="0" fillId="0" borderId="0" xfId="1" quotePrefix="1" applyNumberFormat="1" applyFon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Outstanding U.S. export soybean sales lack signs of previous summer revivals  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5.6171183626044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Cover!$B$1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Cover!$A$4:$A$55</c:f>
              <c:strCache>
                <c:ptCount val="52"/>
                <c:pt idx="0">
                  <c:v>Sep 5</c:v>
                </c:pt>
                <c:pt idx="1">
                  <c:v>Sep 12</c:v>
                </c:pt>
                <c:pt idx="2">
                  <c:v>Sep 19</c:v>
                </c:pt>
                <c:pt idx="3">
                  <c:v>Sep 26</c:v>
                </c:pt>
                <c:pt idx="4">
                  <c:v>Oct 3</c:v>
                </c:pt>
                <c:pt idx="5">
                  <c:v>Oct 10</c:v>
                </c:pt>
                <c:pt idx="6">
                  <c:v>Oct 17</c:v>
                </c:pt>
                <c:pt idx="7">
                  <c:v>Oct 24</c:v>
                </c:pt>
                <c:pt idx="8">
                  <c:v>Oct 31</c:v>
                </c:pt>
                <c:pt idx="9">
                  <c:v>Nov 7</c:v>
                </c:pt>
                <c:pt idx="10">
                  <c:v>Nov 14</c:v>
                </c:pt>
                <c:pt idx="11">
                  <c:v>Nov 21</c:v>
                </c:pt>
                <c:pt idx="12">
                  <c:v>Nov 28</c:v>
                </c:pt>
                <c:pt idx="13">
                  <c:v>Dec 5</c:v>
                </c:pt>
                <c:pt idx="14">
                  <c:v>Dec 12</c:v>
                </c:pt>
                <c:pt idx="15">
                  <c:v>Dec 19</c:v>
                </c:pt>
                <c:pt idx="16">
                  <c:v>Dec 26</c:v>
                </c:pt>
                <c:pt idx="17">
                  <c:v>Jan 2</c:v>
                </c:pt>
                <c:pt idx="18">
                  <c:v>Jan 9</c:v>
                </c:pt>
                <c:pt idx="19">
                  <c:v>Jan 16</c:v>
                </c:pt>
                <c:pt idx="20">
                  <c:v>Jan 23</c:v>
                </c:pt>
                <c:pt idx="21">
                  <c:v>Jan 30</c:v>
                </c:pt>
                <c:pt idx="22">
                  <c:v>Feb 6</c:v>
                </c:pt>
                <c:pt idx="23">
                  <c:v>Feb 13</c:v>
                </c:pt>
                <c:pt idx="24">
                  <c:v>Feb 20</c:v>
                </c:pt>
                <c:pt idx="25">
                  <c:v>Feb 27</c:v>
                </c:pt>
                <c:pt idx="26">
                  <c:v>Mar 5</c:v>
                </c:pt>
                <c:pt idx="27">
                  <c:v>Mar 12</c:v>
                </c:pt>
                <c:pt idx="28">
                  <c:v>Mar 19</c:v>
                </c:pt>
                <c:pt idx="29">
                  <c:v>Mar 26</c:v>
                </c:pt>
                <c:pt idx="30">
                  <c:v>Apr 2</c:v>
                </c:pt>
                <c:pt idx="31">
                  <c:v>Apr 9</c:v>
                </c:pt>
                <c:pt idx="32">
                  <c:v>Apr 16</c:v>
                </c:pt>
                <c:pt idx="33">
                  <c:v>Apr 23</c:v>
                </c:pt>
                <c:pt idx="34">
                  <c:v>Apr 30</c:v>
                </c:pt>
                <c:pt idx="35">
                  <c:v>May 7</c:v>
                </c:pt>
                <c:pt idx="36">
                  <c:v>May 14</c:v>
                </c:pt>
                <c:pt idx="37">
                  <c:v>May 21</c:v>
                </c:pt>
                <c:pt idx="38">
                  <c:v>May 28</c:v>
                </c:pt>
                <c:pt idx="39">
                  <c:v>Jun 4</c:v>
                </c:pt>
                <c:pt idx="40">
                  <c:v>Jun 11</c:v>
                </c:pt>
                <c:pt idx="41">
                  <c:v>Jun 18</c:v>
                </c:pt>
                <c:pt idx="42">
                  <c:v>Jun 25</c:v>
                </c:pt>
                <c:pt idx="43">
                  <c:v>Jul 2</c:v>
                </c:pt>
                <c:pt idx="44">
                  <c:v>Jul 9</c:v>
                </c:pt>
                <c:pt idx="45">
                  <c:v>Jul 16</c:v>
                </c:pt>
                <c:pt idx="46">
                  <c:v>Jul 23</c:v>
                </c:pt>
                <c:pt idx="47">
                  <c:v>Jul 30</c:v>
                </c:pt>
                <c:pt idx="48">
                  <c:v>Aug 6</c:v>
                </c:pt>
                <c:pt idx="49">
                  <c:v>Aug 13</c:v>
                </c:pt>
                <c:pt idx="50">
                  <c:v>Aug 20</c:v>
                </c:pt>
                <c:pt idx="51">
                  <c:v>Aug 27</c:v>
                </c:pt>
              </c:strCache>
            </c:strRef>
          </c:cat>
          <c:val>
            <c:numRef>
              <c:f>Cover!$B$4:$B$55</c:f>
              <c:numCache>
                <c:formatCode>#,##0.0</c:formatCode>
                <c:ptCount val="52"/>
                <c:pt idx="0">
                  <c:v>22.316700000000001</c:v>
                </c:pt>
                <c:pt idx="1">
                  <c:v>22.402099999999997</c:v>
                </c:pt>
                <c:pt idx="2">
                  <c:v>23.700700000000001</c:v>
                </c:pt>
                <c:pt idx="3">
                  <c:v>24.853400000000001</c:v>
                </c:pt>
                <c:pt idx="4">
                  <c:v>24.711599999999997</c:v>
                </c:pt>
                <c:pt idx="5">
                  <c:v>24.0488</c:v>
                </c:pt>
                <c:pt idx="6">
                  <c:v>23.285599999999999</c:v>
                </c:pt>
                <c:pt idx="7">
                  <c:v>22.8672</c:v>
                </c:pt>
                <c:pt idx="8">
                  <c:v>21.0777</c:v>
                </c:pt>
                <c:pt idx="9">
                  <c:v>19.462299999999999</c:v>
                </c:pt>
                <c:pt idx="10">
                  <c:v>18.552700000000002</c:v>
                </c:pt>
                <c:pt idx="11">
                  <c:v>17.568099999999998</c:v>
                </c:pt>
                <c:pt idx="12">
                  <c:v>17.1601</c:v>
                </c:pt>
                <c:pt idx="13">
                  <c:v>17.278500000000001</c:v>
                </c:pt>
                <c:pt idx="14">
                  <c:v>17.289300000000001</c:v>
                </c:pt>
                <c:pt idx="15">
                  <c:v>16.3718</c:v>
                </c:pt>
                <c:pt idx="16">
                  <c:v>14.869299999999999</c:v>
                </c:pt>
                <c:pt idx="17">
                  <c:v>13.786100000000001</c:v>
                </c:pt>
                <c:pt idx="18">
                  <c:v>13.186500000000001</c:v>
                </c:pt>
                <c:pt idx="19">
                  <c:v>12.4643</c:v>
                </c:pt>
                <c:pt idx="20">
                  <c:v>11.5633</c:v>
                </c:pt>
                <c:pt idx="21">
                  <c:v>10.457799999999999</c:v>
                </c:pt>
                <c:pt idx="22">
                  <c:v>10.2096</c:v>
                </c:pt>
                <c:pt idx="23">
                  <c:v>9.5691000000000006</c:v>
                </c:pt>
                <c:pt idx="24">
                  <c:v>9.0091999999999999</c:v>
                </c:pt>
                <c:pt idx="25">
                  <c:v>8.5117999999999991</c:v>
                </c:pt>
                <c:pt idx="26">
                  <c:v>8.1346000000000007</c:v>
                </c:pt>
                <c:pt idx="27">
                  <c:v>8.2967999999999993</c:v>
                </c:pt>
                <c:pt idx="28">
                  <c:v>8.0263000000000009</c:v>
                </c:pt>
                <c:pt idx="29">
                  <c:v>7.7534999999999998</c:v>
                </c:pt>
                <c:pt idx="30">
                  <c:v>7.3501000000000003</c:v>
                </c:pt>
                <c:pt idx="31">
                  <c:v>7.1301999999999994</c:v>
                </c:pt>
                <c:pt idx="32">
                  <c:v>7.1561000000000003</c:v>
                </c:pt>
                <c:pt idx="33">
                  <c:v>6.8342000000000001</c:v>
                </c:pt>
                <c:pt idx="34">
                  <c:v>6.8696000000000002</c:v>
                </c:pt>
                <c:pt idx="35">
                  <c:v>6.8793999999999995</c:v>
                </c:pt>
                <c:pt idx="36">
                  <c:v>7.0175000000000001</c:v>
                </c:pt>
                <c:pt idx="37">
                  <c:v>7.2818999999999994</c:v>
                </c:pt>
                <c:pt idx="38">
                  <c:v>7.1215000000000002</c:v>
                </c:pt>
                <c:pt idx="39">
                  <c:v>6.9726999999999997</c:v>
                </c:pt>
                <c:pt idx="40">
                  <c:v>6.7877000000000001</c:v>
                </c:pt>
                <c:pt idx="41">
                  <c:v>6.7558999999999996</c:v>
                </c:pt>
                <c:pt idx="42">
                  <c:v>6.8428000000000004</c:v>
                </c:pt>
                <c:pt idx="43">
                  <c:v>6.6633999999999993</c:v>
                </c:pt>
                <c:pt idx="44">
                  <c:v>6.7149999999999999</c:v>
                </c:pt>
                <c:pt idx="45">
                  <c:v>6.4447000000000001</c:v>
                </c:pt>
                <c:pt idx="46">
                  <c:v>5.9645000000000001</c:v>
                </c:pt>
                <c:pt idx="47">
                  <c:v>5.3973000000000004</c:v>
                </c:pt>
                <c:pt idx="48">
                  <c:v>5.1076999999999995</c:v>
                </c:pt>
                <c:pt idx="49">
                  <c:v>4.0059000000000005</c:v>
                </c:pt>
                <c:pt idx="50">
                  <c:v>3.4420999999999999</c:v>
                </c:pt>
                <c:pt idx="51">
                  <c:v>2.359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3-4A02-830B-38B0E05B79D0}"/>
            </c:ext>
          </c:extLst>
        </c:ser>
        <c:ser>
          <c:idx val="0"/>
          <c:order val="1"/>
          <c:tx>
            <c:strRef>
              <c:f>Cover!$C$1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Cover!$A$4:$A$55</c:f>
              <c:strCache>
                <c:ptCount val="52"/>
                <c:pt idx="0">
                  <c:v>Sep 5</c:v>
                </c:pt>
                <c:pt idx="1">
                  <c:v>Sep 12</c:v>
                </c:pt>
                <c:pt idx="2">
                  <c:v>Sep 19</c:v>
                </c:pt>
                <c:pt idx="3">
                  <c:v>Sep 26</c:v>
                </c:pt>
                <c:pt idx="4">
                  <c:v>Oct 3</c:v>
                </c:pt>
                <c:pt idx="5">
                  <c:v>Oct 10</c:v>
                </c:pt>
                <c:pt idx="6">
                  <c:v>Oct 17</c:v>
                </c:pt>
                <c:pt idx="7">
                  <c:v>Oct 24</c:v>
                </c:pt>
                <c:pt idx="8">
                  <c:v>Oct 31</c:v>
                </c:pt>
                <c:pt idx="9">
                  <c:v>Nov 7</c:v>
                </c:pt>
                <c:pt idx="10">
                  <c:v>Nov 14</c:v>
                </c:pt>
                <c:pt idx="11">
                  <c:v>Nov 21</c:v>
                </c:pt>
                <c:pt idx="12">
                  <c:v>Nov 28</c:v>
                </c:pt>
                <c:pt idx="13">
                  <c:v>Dec 5</c:v>
                </c:pt>
                <c:pt idx="14">
                  <c:v>Dec 12</c:v>
                </c:pt>
                <c:pt idx="15">
                  <c:v>Dec 19</c:v>
                </c:pt>
                <c:pt idx="16">
                  <c:v>Dec 26</c:v>
                </c:pt>
                <c:pt idx="17">
                  <c:v>Jan 2</c:v>
                </c:pt>
                <c:pt idx="18">
                  <c:v>Jan 9</c:v>
                </c:pt>
                <c:pt idx="19">
                  <c:v>Jan 16</c:v>
                </c:pt>
                <c:pt idx="20">
                  <c:v>Jan 23</c:v>
                </c:pt>
                <c:pt idx="21">
                  <c:v>Jan 30</c:v>
                </c:pt>
                <c:pt idx="22">
                  <c:v>Feb 6</c:v>
                </c:pt>
                <c:pt idx="23">
                  <c:v>Feb 13</c:v>
                </c:pt>
                <c:pt idx="24">
                  <c:v>Feb 20</c:v>
                </c:pt>
                <c:pt idx="25">
                  <c:v>Feb 27</c:v>
                </c:pt>
                <c:pt idx="26">
                  <c:v>Mar 5</c:v>
                </c:pt>
                <c:pt idx="27">
                  <c:v>Mar 12</c:v>
                </c:pt>
                <c:pt idx="28">
                  <c:v>Mar 19</c:v>
                </c:pt>
                <c:pt idx="29">
                  <c:v>Mar 26</c:v>
                </c:pt>
                <c:pt idx="30">
                  <c:v>Apr 2</c:v>
                </c:pt>
                <c:pt idx="31">
                  <c:v>Apr 9</c:v>
                </c:pt>
                <c:pt idx="32">
                  <c:v>Apr 16</c:v>
                </c:pt>
                <c:pt idx="33">
                  <c:v>Apr 23</c:v>
                </c:pt>
                <c:pt idx="34">
                  <c:v>Apr 30</c:v>
                </c:pt>
                <c:pt idx="35">
                  <c:v>May 7</c:v>
                </c:pt>
                <c:pt idx="36">
                  <c:v>May 14</c:v>
                </c:pt>
                <c:pt idx="37">
                  <c:v>May 21</c:v>
                </c:pt>
                <c:pt idx="38">
                  <c:v>May 28</c:v>
                </c:pt>
                <c:pt idx="39">
                  <c:v>Jun 4</c:v>
                </c:pt>
                <c:pt idx="40">
                  <c:v>Jun 11</c:v>
                </c:pt>
                <c:pt idx="41">
                  <c:v>Jun 18</c:v>
                </c:pt>
                <c:pt idx="42">
                  <c:v>Jun 25</c:v>
                </c:pt>
                <c:pt idx="43">
                  <c:v>Jul 2</c:v>
                </c:pt>
                <c:pt idx="44">
                  <c:v>Jul 9</c:v>
                </c:pt>
                <c:pt idx="45">
                  <c:v>Jul 16</c:v>
                </c:pt>
                <c:pt idx="46">
                  <c:v>Jul 23</c:v>
                </c:pt>
                <c:pt idx="47">
                  <c:v>Jul 30</c:v>
                </c:pt>
                <c:pt idx="48">
                  <c:v>Aug 6</c:v>
                </c:pt>
                <c:pt idx="49">
                  <c:v>Aug 13</c:v>
                </c:pt>
                <c:pt idx="50">
                  <c:v>Aug 20</c:v>
                </c:pt>
                <c:pt idx="51">
                  <c:v>Aug 27</c:v>
                </c:pt>
              </c:strCache>
            </c:strRef>
          </c:cat>
          <c:val>
            <c:numRef>
              <c:f>Cover!$C$4:$C$55</c:f>
              <c:numCache>
                <c:formatCode>#,##0.0</c:formatCode>
                <c:ptCount val="52"/>
                <c:pt idx="0">
                  <c:v>15.8423</c:v>
                </c:pt>
                <c:pt idx="1">
                  <c:v>17.235599999999998</c:v>
                </c:pt>
                <c:pt idx="2">
                  <c:v>19.232900000000001</c:v>
                </c:pt>
                <c:pt idx="3">
                  <c:v>19.263099999999998</c:v>
                </c:pt>
                <c:pt idx="4">
                  <c:v>19.8202</c:v>
                </c:pt>
                <c:pt idx="5">
                  <c:v>19.2453</c:v>
                </c:pt>
                <c:pt idx="6">
                  <c:v>18.852</c:v>
                </c:pt>
                <c:pt idx="7">
                  <c:v>18.1311</c:v>
                </c:pt>
                <c:pt idx="8">
                  <c:v>16.7715</c:v>
                </c:pt>
                <c:pt idx="9">
                  <c:v>15.6204</c:v>
                </c:pt>
                <c:pt idx="10">
                  <c:v>14.564</c:v>
                </c:pt>
                <c:pt idx="11">
                  <c:v>13.303799999999999</c:v>
                </c:pt>
                <c:pt idx="12">
                  <c:v>13.301500000000001</c:v>
                </c:pt>
                <c:pt idx="13">
                  <c:v>13.492799999999999</c:v>
                </c:pt>
                <c:pt idx="14">
                  <c:v>13.695799999999998</c:v>
                </c:pt>
                <c:pt idx="15">
                  <c:v>13.260899999999999</c:v>
                </c:pt>
                <c:pt idx="16">
                  <c:v>12.667</c:v>
                </c:pt>
                <c:pt idx="17">
                  <c:v>11.728200000000001</c:v>
                </c:pt>
                <c:pt idx="18">
                  <c:v>11.789899999999999</c:v>
                </c:pt>
                <c:pt idx="19">
                  <c:v>11.162600000000001</c:v>
                </c:pt>
                <c:pt idx="20">
                  <c:v>10.3019</c:v>
                </c:pt>
                <c:pt idx="21">
                  <c:v>9.5079999999999991</c:v>
                </c:pt>
                <c:pt idx="22">
                  <c:v>8.7731000000000012</c:v>
                </c:pt>
                <c:pt idx="23">
                  <c:v>7.7701000000000002</c:v>
                </c:pt>
                <c:pt idx="24">
                  <c:v>7.726</c:v>
                </c:pt>
                <c:pt idx="25">
                  <c:v>9.2378999999999998</c:v>
                </c:pt>
                <c:pt idx="26">
                  <c:v>9.6074999999999999</c:v>
                </c:pt>
                <c:pt idx="27">
                  <c:v>9.8178000000000001</c:v>
                </c:pt>
                <c:pt idx="28">
                  <c:v>9.3523999999999994</c:v>
                </c:pt>
                <c:pt idx="29">
                  <c:v>9.9057000000000013</c:v>
                </c:pt>
                <c:pt idx="30">
                  <c:v>10.996499999999999</c:v>
                </c:pt>
                <c:pt idx="31">
                  <c:v>11.634799999999998</c:v>
                </c:pt>
                <c:pt idx="32">
                  <c:v>11.5601</c:v>
                </c:pt>
                <c:pt idx="33">
                  <c:v>11.2851</c:v>
                </c:pt>
                <c:pt idx="34">
                  <c:v>11.1675</c:v>
                </c:pt>
                <c:pt idx="35">
                  <c:v>10.794799999999999</c:v>
                </c:pt>
                <c:pt idx="36">
                  <c:v>9.7515000000000001</c:v>
                </c:pt>
                <c:pt idx="37">
                  <c:v>9.3772000000000002</c:v>
                </c:pt>
                <c:pt idx="38">
                  <c:v>9.0259</c:v>
                </c:pt>
                <c:pt idx="39">
                  <c:v>8.9481000000000002</c:v>
                </c:pt>
                <c:pt idx="40">
                  <c:v>8.2577999999999996</c:v>
                </c:pt>
                <c:pt idx="41">
                  <c:v>8.1158000000000001</c:v>
                </c:pt>
                <c:pt idx="42">
                  <c:v>7.7396000000000003</c:v>
                </c:pt>
                <c:pt idx="43">
                  <c:v>7.1646999999999998</c:v>
                </c:pt>
                <c:pt idx="44">
                  <c:v>6.8117999999999999</c:v>
                </c:pt>
                <c:pt idx="45">
                  <c:v>6.5263999999999998</c:v>
                </c:pt>
                <c:pt idx="46">
                  <c:v>5.7636000000000003</c:v>
                </c:pt>
                <c:pt idx="47">
                  <c:v>5.1707999999999998</c:v>
                </c:pt>
                <c:pt idx="48">
                  <c:v>4.7176999999999998</c:v>
                </c:pt>
                <c:pt idx="49">
                  <c:v>4.2438000000000002</c:v>
                </c:pt>
                <c:pt idx="50">
                  <c:v>3.3815999999999997</c:v>
                </c:pt>
                <c:pt idx="51">
                  <c:v>2.6588000000000003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3-4A02-830B-38B0E05B79D0}"/>
            </c:ext>
          </c:extLst>
        </c:ser>
        <c:ser>
          <c:idx val="4"/>
          <c:order val="2"/>
          <c:tx>
            <c:strRef>
              <c:f>Cover!$D$1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Cover!$A$4:$A$55</c:f>
              <c:strCache>
                <c:ptCount val="52"/>
                <c:pt idx="0">
                  <c:v>Sep 5</c:v>
                </c:pt>
                <c:pt idx="1">
                  <c:v>Sep 12</c:v>
                </c:pt>
                <c:pt idx="2">
                  <c:v>Sep 19</c:v>
                </c:pt>
                <c:pt idx="3">
                  <c:v>Sep 26</c:v>
                </c:pt>
                <c:pt idx="4">
                  <c:v>Oct 3</c:v>
                </c:pt>
                <c:pt idx="5">
                  <c:v>Oct 10</c:v>
                </c:pt>
                <c:pt idx="6">
                  <c:v>Oct 17</c:v>
                </c:pt>
                <c:pt idx="7">
                  <c:v>Oct 24</c:v>
                </c:pt>
                <c:pt idx="8">
                  <c:v>Oct 31</c:v>
                </c:pt>
                <c:pt idx="9">
                  <c:v>Nov 7</c:v>
                </c:pt>
                <c:pt idx="10">
                  <c:v>Nov 14</c:v>
                </c:pt>
                <c:pt idx="11">
                  <c:v>Nov 21</c:v>
                </c:pt>
                <c:pt idx="12">
                  <c:v>Nov 28</c:v>
                </c:pt>
                <c:pt idx="13">
                  <c:v>Dec 5</c:v>
                </c:pt>
                <c:pt idx="14">
                  <c:v>Dec 12</c:v>
                </c:pt>
                <c:pt idx="15">
                  <c:v>Dec 19</c:v>
                </c:pt>
                <c:pt idx="16">
                  <c:v>Dec 26</c:v>
                </c:pt>
                <c:pt idx="17">
                  <c:v>Jan 2</c:v>
                </c:pt>
                <c:pt idx="18">
                  <c:v>Jan 9</c:v>
                </c:pt>
                <c:pt idx="19">
                  <c:v>Jan 16</c:v>
                </c:pt>
                <c:pt idx="20">
                  <c:v>Jan 23</c:v>
                </c:pt>
                <c:pt idx="21">
                  <c:v>Jan 30</c:v>
                </c:pt>
                <c:pt idx="22">
                  <c:v>Feb 6</c:v>
                </c:pt>
                <c:pt idx="23">
                  <c:v>Feb 13</c:v>
                </c:pt>
                <c:pt idx="24">
                  <c:v>Feb 20</c:v>
                </c:pt>
                <c:pt idx="25">
                  <c:v>Feb 27</c:v>
                </c:pt>
                <c:pt idx="26">
                  <c:v>Mar 5</c:v>
                </c:pt>
                <c:pt idx="27">
                  <c:v>Mar 12</c:v>
                </c:pt>
                <c:pt idx="28">
                  <c:v>Mar 19</c:v>
                </c:pt>
                <c:pt idx="29">
                  <c:v>Mar 26</c:v>
                </c:pt>
                <c:pt idx="30">
                  <c:v>Apr 2</c:v>
                </c:pt>
                <c:pt idx="31">
                  <c:v>Apr 9</c:v>
                </c:pt>
                <c:pt idx="32">
                  <c:v>Apr 16</c:v>
                </c:pt>
                <c:pt idx="33">
                  <c:v>Apr 23</c:v>
                </c:pt>
                <c:pt idx="34">
                  <c:v>Apr 30</c:v>
                </c:pt>
                <c:pt idx="35">
                  <c:v>May 7</c:v>
                </c:pt>
                <c:pt idx="36">
                  <c:v>May 14</c:v>
                </c:pt>
                <c:pt idx="37">
                  <c:v>May 21</c:v>
                </c:pt>
                <c:pt idx="38">
                  <c:v>May 28</c:v>
                </c:pt>
                <c:pt idx="39">
                  <c:v>Jun 4</c:v>
                </c:pt>
                <c:pt idx="40">
                  <c:v>Jun 11</c:v>
                </c:pt>
                <c:pt idx="41">
                  <c:v>Jun 18</c:v>
                </c:pt>
                <c:pt idx="42">
                  <c:v>Jun 25</c:v>
                </c:pt>
                <c:pt idx="43">
                  <c:v>Jul 2</c:v>
                </c:pt>
                <c:pt idx="44">
                  <c:v>Jul 9</c:v>
                </c:pt>
                <c:pt idx="45">
                  <c:v>Jul 16</c:v>
                </c:pt>
                <c:pt idx="46">
                  <c:v>Jul 23</c:v>
                </c:pt>
                <c:pt idx="47">
                  <c:v>Jul 30</c:v>
                </c:pt>
                <c:pt idx="48">
                  <c:v>Aug 6</c:v>
                </c:pt>
                <c:pt idx="49">
                  <c:v>Aug 13</c:v>
                </c:pt>
                <c:pt idx="50">
                  <c:v>Aug 20</c:v>
                </c:pt>
                <c:pt idx="51">
                  <c:v>Aug 27</c:v>
                </c:pt>
              </c:strCache>
            </c:strRef>
          </c:cat>
          <c:val>
            <c:numRef>
              <c:f>Cover!$D$4:$D$55</c:f>
              <c:numCache>
                <c:formatCode>#,##0.0</c:formatCode>
                <c:ptCount val="52"/>
                <c:pt idx="0">
                  <c:v>16.119</c:v>
                </c:pt>
                <c:pt idx="1">
                  <c:v>16.235600000000002</c:v>
                </c:pt>
                <c:pt idx="2">
                  <c:v>16.287200000000002</c:v>
                </c:pt>
                <c:pt idx="3">
                  <c:v>17.087900000000001</c:v>
                </c:pt>
                <c:pt idx="4">
                  <c:v>16.643099999999997</c:v>
                </c:pt>
                <c:pt idx="5">
                  <c:v>15.779200000000001</c:v>
                </c:pt>
                <c:pt idx="6">
                  <c:v>14.881500000000001</c:v>
                </c:pt>
                <c:pt idx="7">
                  <c:v>13.963899999999999</c:v>
                </c:pt>
                <c:pt idx="8">
                  <c:v>13.216100000000001</c:v>
                </c:pt>
                <c:pt idx="9">
                  <c:v>12.328700000000001</c:v>
                </c:pt>
                <c:pt idx="10">
                  <c:v>11.736700000000001</c:v>
                </c:pt>
                <c:pt idx="11">
                  <c:v>11.342000000000001</c:v>
                </c:pt>
                <c:pt idx="12">
                  <c:v>10.980799999999999</c:v>
                </c:pt>
                <c:pt idx="13">
                  <c:v>10.626299999999999</c:v>
                </c:pt>
                <c:pt idx="14">
                  <c:v>12.1241</c:v>
                </c:pt>
                <c:pt idx="15">
                  <c:v>13.904399999999999</c:v>
                </c:pt>
                <c:pt idx="16">
                  <c:v>14.0372</c:v>
                </c:pt>
                <c:pt idx="17">
                  <c:v>12.517299999999999</c:v>
                </c:pt>
                <c:pt idx="18">
                  <c:v>12.7173</c:v>
                </c:pt>
                <c:pt idx="19">
                  <c:v>12.917299999999999</c:v>
                </c:pt>
                <c:pt idx="20">
                  <c:v>13.117299999999998</c:v>
                </c:pt>
                <c:pt idx="21">
                  <c:v>13.317299999999999</c:v>
                </c:pt>
                <c:pt idx="22">
                  <c:v>13.517299999999999</c:v>
                </c:pt>
                <c:pt idx="23">
                  <c:v>13.4587</c:v>
                </c:pt>
                <c:pt idx="24">
                  <c:v>13.383899999999999</c:v>
                </c:pt>
                <c:pt idx="25">
                  <c:v>12.7125</c:v>
                </c:pt>
                <c:pt idx="26">
                  <c:v>13.804500000000001</c:v>
                </c:pt>
                <c:pt idx="27">
                  <c:v>13.1889</c:v>
                </c:pt>
                <c:pt idx="28">
                  <c:v>12.429500000000001</c:v>
                </c:pt>
                <c:pt idx="29">
                  <c:v>13.635899999999999</c:v>
                </c:pt>
                <c:pt idx="30">
                  <c:v>13.016500000000001</c:v>
                </c:pt>
                <c:pt idx="31">
                  <c:v>12.9278</c:v>
                </c:pt>
                <c:pt idx="32">
                  <c:v>13.1281</c:v>
                </c:pt>
                <c:pt idx="33">
                  <c:v>12.8743</c:v>
                </c:pt>
                <c:pt idx="34">
                  <c:v>12.118399999999999</c:v>
                </c:pt>
                <c:pt idx="35">
                  <c:v>11.873200000000001</c:v>
                </c:pt>
                <c:pt idx="36">
                  <c:v>11.838200000000001</c:v>
                </c:pt>
                <c:pt idx="37">
                  <c:v>11.824999999999999</c:v>
                </c:pt>
                <c:pt idx="38">
                  <c:v>11.769200000000001</c:v>
                </c:pt>
                <c:pt idx="39">
                  <c:v>11.2661</c:v>
                </c:pt>
                <c:pt idx="40">
                  <c:v>11.101100000000001</c:v>
                </c:pt>
                <c:pt idx="41">
                  <c:v>10.5442</c:v>
                </c:pt>
                <c:pt idx="42">
                  <c:v>10.620100000000001</c:v>
                </c:pt>
                <c:pt idx="43">
                  <c:v>10.059899999999999</c:v>
                </c:pt>
                <c:pt idx="44">
                  <c:v>9.2787999999999986</c:v>
                </c:pt>
                <c:pt idx="45">
                  <c:v>8.5631000000000004</c:v>
                </c:pt>
                <c:pt idx="46">
                  <c:v>7.7848999999999995</c:v>
                </c:pt>
                <c:pt idx="47">
                  <c:v>6.8693999999999997</c:v>
                </c:pt>
                <c:pt idx="48">
                  <c:v>5.6478999999999999</c:v>
                </c:pt>
                <c:pt idx="49">
                  <c:v>4.4992999999999999</c:v>
                </c:pt>
                <c:pt idx="50">
                  <c:v>3.7211999999999996</c:v>
                </c:pt>
                <c:pt idx="51">
                  <c:v>2.5941000000000001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19-4EF0-A764-2BDF12C1EAE0}"/>
            </c:ext>
          </c:extLst>
        </c:ser>
        <c:ser>
          <c:idx val="5"/>
          <c:order val="3"/>
          <c:tx>
            <c:strRef>
              <c:f>Cover!$E$1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Cover!$A$4:$A$55</c:f>
              <c:strCache>
                <c:ptCount val="52"/>
                <c:pt idx="0">
                  <c:v>Sep 5</c:v>
                </c:pt>
                <c:pt idx="1">
                  <c:v>Sep 12</c:v>
                </c:pt>
                <c:pt idx="2">
                  <c:v>Sep 19</c:v>
                </c:pt>
                <c:pt idx="3">
                  <c:v>Sep 26</c:v>
                </c:pt>
                <c:pt idx="4">
                  <c:v>Oct 3</c:v>
                </c:pt>
                <c:pt idx="5">
                  <c:v>Oct 10</c:v>
                </c:pt>
                <c:pt idx="6">
                  <c:v>Oct 17</c:v>
                </c:pt>
                <c:pt idx="7">
                  <c:v>Oct 24</c:v>
                </c:pt>
                <c:pt idx="8">
                  <c:v>Oct 31</c:v>
                </c:pt>
                <c:pt idx="9">
                  <c:v>Nov 7</c:v>
                </c:pt>
                <c:pt idx="10">
                  <c:v>Nov 14</c:v>
                </c:pt>
                <c:pt idx="11">
                  <c:v>Nov 21</c:v>
                </c:pt>
                <c:pt idx="12">
                  <c:v>Nov 28</c:v>
                </c:pt>
                <c:pt idx="13">
                  <c:v>Dec 5</c:v>
                </c:pt>
                <c:pt idx="14">
                  <c:v>Dec 12</c:v>
                </c:pt>
                <c:pt idx="15">
                  <c:v>Dec 19</c:v>
                </c:pt>
                <c:pt idx="16">
                  <c:v>Dec 26</c:v>
                </c:pt>
                <c:pt idx="17">
                  <c:v>Jan 2</c:v>
                </c:pt>
                <c:pt idx="18">
                  <c:v>Jan 9</c:v>
                </c:pt>
                <c:pt idx="19">
                  <c:v>Jan 16</c:v>
                </c:pt>
                <c:pt idx="20">
                  <c:v>Jan 23</c:v>
                </c:pt>
                <c:pt idx="21">
                  <c:v>Jan 30</c:v>
                </c:pt>
                <c:pt idx="22">
                  <c:v>Feb 6</c:v>
                </c:pt>
                <c:pt idx="23">
                  <c:v>Feb 13</c:v>
                </c:pt>
                <c:pt idx="24">
                  <c:v>Feb 20</c:v>
                </c:pt>
                <c:pt idx="25">
                  <c:v>Feb 27</c:v>
                </c:pt>
                <c:pt idx="26">
                  <c:v>Mar 5</c:v>
                </c:pt>
                <c:pt idx="27">
                  <c:v>Mar 12</c:v>
                </c:pt>
                <c:pt idx="28">
                  <c:v>Mar 19</c:v>
                </c:pt>
                <c:pt idx="29">
                  <c:v>Mar 26</c:v>
                </c:pt>
                <c:pt idx="30">
                  <c:v>Apr 2</c:v>
                </c:pt>
                <c:pt idx="31">
                  <c:v>Apr 9</c:v>
                </c:pt>
                <c:pt idx="32">
                  <c:v>Apr 16</c:v>
                </c:pt>
                <c:pt idx="33">
                  <c:v>Apr 23</c:v>
                </c:pt>
                <c:pt idx="34">
                  <c:v>Apr 30</c:v>
                </c:pt>
                <c:pt idx="35">
                  <c:v>May 7</c:v>
                </c:pt>
                <c:pt idx="36">
                  <c:v>May 14</c:v>
                </c:pt>
                <c:pt idx="37">
                  <c:v>May 21</c:v>
                </c:pt>
                <c:pt idx="38">
                  <c:v>May 28</c:v>
                </c:pt>
                <c:pt idx="39">
                  <c:v>Jun 4</c:v>
                </c:pt>
                <c:pt idx="40">
                  <c:v>Jun 11</c:v>
                </c:pt>
                <c:pt idx="41">
                  <c:v>Jun 18</c:v>
                </c:pt>
                <c:pt idx="42">
                  <c:v>Jun 25</c:v>
                </c:pt>
                <c:pt idx="43">
                  <c:v>Jul 2</c:v>
                </c:pt>
                <c:pt idx="44">
                  <c:v>Jul 9</c:v>
                </c:pt>
                <c:pt idx="45">
                  <c:v>Jul 16</c:v>
                </c:pt>
                <c:pt idx="46">
                  <c:v>Jul 23</c:v>
                </c:pt>
                <c:pt idx="47">
                  <c:v>Jul 30</c:v>
                </c:pt>
                <c:pt idx="48">
                  <c:v>Aug 6</c:v>
                </c:pt>
                <c:pt idx="49">
                  <c:v>Aug 13</c:v>
                </c:pt>
                <c:pt idx="50">
                  <c:v>Aug 20</c:v>
                </c:pt>
                <c:pt idx="51">
                  <c:v>Aug 27</c:v>
                </c:pt>
              </c:strCache>
            </c:strRef>
          </c:cat>
          <c:val>
            <c:numRef>
              <c:f>Cover!$E$4:$E$55</c:f>
              <c:numCache>
                <c:formatCode>#,##0.0</c:formatCode>
                <c:ptCount val="52"/>
                <c:pt idx="0">
                  <c:v>9.0332000000000008</c:v>
                </c:pt>
                <c:pt idx="1">
                  <c:v>10.0594</c:v>
                </c:pt>
                <c:pt idx="2">
                  <c:v>10.1464</c:v>
                </c:pt>
                <c:pt idx="3">
                  <c:v>11.305200000000001</c:v>
                </c:pt>
                <c:pt idx="4">
                  <c:v>12.359200000000001</c:v>
                </c:pt>
                <c:pt idx="5">
                  <c:v>13.004100000000001</c:v>
                </c:pt>
                <c:pt idx="6">
                  <c:v>12.096399999999999</c:v>
                </c:pt>
                <c:pt idx="7">
                  <c:v>11.316700000000001</c:v>
                </c:pt>
                <c:pt idx="8">
                  <c:v>11.5646</c:v>
                </c:pt>
                <c:pt idx="9">
                  <c:v>11.543100000000001</c:v>
                </c:pt>
                <c:pt idx="10">
                  <c:v>11.352399999999999</c:v>
                </c:pt>
                <c:pt idx="11">
                  <c:v>10.770700000000001</c:v>
                </c:pt>
                <c:pt idx="12">
                  <c:v>9.9562999999999988</c:v>
                </c:pt>
                <c:pt idx="13">
                  <c:v>9.5632999999999999</c:v>
                </c:pt>
                <c:pt idx="14">
                  <c:v>9.5881000000000007</c:v>
                </c:pt>
                <c:pt idx="15">
                  <c:v>9.3169000000000004</c:v>
                </c:pt>
                <c:pt idx="16">
                  <c:v>8.5707999999999984</c:v>
                </c:pt>
                <c:pt idx="17">
                  <c:v>7.8075000000000001</c:v>
                </c:pt>
                <c:pt idx="18">
                  <c:v>7.2406000000000006</c:v>
                </c:pt>
                <c:pt idx="19">
                  <c:v>6.9775</c:v>
                </c:pt>
                <c:pt idx="20">
                  <c:v>6.2158999999999995</c:v>
                </c:pt>
                <c:pt idx="21">
                  <c:v>5.4714</c:v>
                </c:pt>
                <c:pt idx="22">
                  <c:v>5.5048999999999992</c:v>
                </c:pt>
                <c:pt idx="23">
                  <c:v>5.0413999999999994</c:v>
                </c:pt>
                <c:pt idx="24">
                  <c:v>4.7827999999999999</c:v>
                </c:pt>
                <c:pt idx="25">
                  <c:v>4.4323000000000006</c:v>
                </c:pt>
                <c:pt idx="26">
                  <c:v>4.1675000000000004</c:v>
                </c:pt>
                <c:pt idx="27">
                  <c:v>4.3156999999999996</c:v>
                </c:pt>
                <c:pt idx="28">
                  <c:v>4.6128999999999998</c:v>
                </c:pt>
                <c:pt idx="29">
                  <c:v>5.1020000000000003</c:v>
                </c:pt>
                <c:pt idx="30">
                  <c:v>5.2633999999999999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19-4EF0-A764-2BDF12C1E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1514928"/>
        <c:axId val="-703525008"/>
      </c:lineChart>
      <c:dateAx>
        <c:axId val="-54151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Export Sales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6431595027779093E-2"/>
              <c:y val="0.9435551371931416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3525008"/>
        <c:crosses val="autoZero"/>
        <c:auto val="1"/>
        <c:lblOffset val="100"/>
        <c:baseTimeUnit val="days"/>
        <c:majorUnit val="4"/>
        <c:minorTimeUnit val="months"/>
      </c:dateAx>
      <c:valAx>
        <c:axId val="-703525008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1514928"/>
        <c:crosses val="autoZero"/>
        <c:crossBetween val="between"/>
        <c:maj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5032166095313815"/>
          <c:y val="0.20020369736391647"/>
          <c:w val="0.14148867448463981"/>
          <c:h val="0.137993647239226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Soybean oil price volatility increases</a:t>
            </a:r>
            <a:r>
              <a:rPr lang="en-US" sz="1050" b="1" baseline="0"/>
              <a:t> as output expands and domestic use dims </a:t>
            </a:r>
            <a:endParaRPr lang="en-US" sz="1050" b="1"/>
          </a:p>
        </c:rich>
      </c:tx>
      <c:layout>
        <c:manualLayout>
          <c:xMode val="edge"/>
          <c:yMode val="edge"/>
          <c:x val="5.100905631821389E-2"/>
          <c:y val="5.6908360690478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lineChart>
        <c:grouping val="standard"/>
        <c:varyColors val="0"/>
        <c:ser>
          <c:idx val="2"/>
          <c:order val="0"/>
          <c:tx>
            <c:strRef>
              <c:f>'Oil Crops Chart Gallery Fig 1'!$B$2</c:f>
              <c:strCache>
                <c:ptCount val="1"/>
                <c:pt idx="0">
                  <c:v>Price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'Oil Crops Chart Gallery Fig 1'!$A$4:$A$21</c:f>
              <c:numCache>
                <c:formatCode>[$-409]mmm\ yy;@</c:formatCode>
                <c:ptCount val="18"/>
                <c:pt idx="0">
                  <c:v>43391</c:v>
                </c:pt>
                <c:pt idx="1">
                  <c:v>43423</c:v>
                </c:pt>
                <c:pt idx="2">
                  <c:v>43454</c:v>
                </c:pt>
                <c:pt idx="3">
                  <c:v>43483</c:v>
                </c:pt>
                <c:pt idx="4">
                  <c:v>43512</c:v>
                </c:pt>
                <c:pt idx="5">
                  <c:v>43541</c:v>
                </c:pt>
                <c:pt idx="6">
                  <c:v>43570</c:v>
                </c:pt>
                <c:pt idx="7">
                  <c:v>43599</c:v>
                </c:pt>
                <c:pt idx="8">
                  <c:v>43628</c:v>
                </c:pt>
                <c:pt idx="9">
                  <c:v>43657</c:v>
                </c:pt>
                <c:pt idx="10">
                  <c:v>43686</c:v>
                </c:pt>
                <c:pt idx="11">
                  <c:v>43715</c:v>
                </c:pt>
                <c:pt idx="12">
                  <c:v>43744</c:v>
                </c:pt>
                <c:pt idx="13">
                  <c:v>43773</c:v>
                </c:pt>
                <c:pt idx="14">
                  <c:v>43802</c:v>
                </c:pt>
                <c:pt idx="15">
                  <c:v>43831</c:v>
                </c:pt>
                <c:pt idx="16">
                  <c:v>43889</c:v>
                </c:pt>
                <c:pt idx="17">
                  <c:v>43918</c:v>
                </c:pt>
              </c:numCache>
            </c:numRef>
          </c:cat>
          <c:val>
            <c:numRef>
              <c:f>'Oil Crops Chart Gallery Fig 1'!$B$4:$B$21</c:f>
              <c:numCache>
                <c:formatCode>0.00</c:formatCode>
                <c:ptCount val="18"/>
                <c:pt idx="0">
                  <c:v>28.89</c:v>
                </c:pt>
                <c:pt idx="1">
                  <c:v>27.492999999999999</c:v>
                </c:pt>
                <c:pt idx="2">
                  <c:v>28.14</c:v>
                </c:pt>
                <c:pt idx="3">
                  <c:v>28.44</c:v>
                </c:pt>
                <c:pt idx="4">
                  <c:v>29.58</c:v>
                </c:pt>
                <c:pt idx="5">
                  <c:v>28.62</c:v>
                </c:pt>
                <c:pt idx="6">
                  <c:v>27.86</c:v>
                </c:pt>
                <c:pt idx="7">
                  <c:v>26.93</c:v>
                </c:pt>
                <c:pt idx="8">
                  <c:v>28.24</c:v>
                </c:pt>
                <c:pt idx="9">
                  <c:v>27.68</c:v>
                </c:pt>
                <c:pt idx="10">
                  <c:v>28.41</c:v>
                </c:pt>
                <c:pt idx="11">
                  <c:v>28.81</c:v>
                </c:pt>
                <c:pt idx="12">
                  <c:v>30.14</c:v>
                </c:pt>
                <c:pt idx="13">
                  <c:v>30.62</c:v>
                </c:pt>
                <c:pt idx="14">
                  <c:v>32.270000000000003</c:v>
                </c:pt>
                <c:pt idx="15">
                  <c:v>33.04</c:v>
                </c:pt>
                <c:pt idx="16">
                  <c:v>30.26</c:v>
                </c:pt>
                <c:pt idx="17">
                  <c:v>27.04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F-4EB9-B315-6EADE4B4C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Agricultural Marketing Service, </a:t>
                </a:r>
                <a:r>
                  <a:rPr lang="en-US" sz="800" i="1"/>
                  <a:t>Central Illinois Soybean Processor Report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[$-409]mmm\ yy;@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  <c:majorUnit val="2"/>
        <c:majorTimeUnit val="months"/>
        <c:minorUnit val="2"/>
        <c:minorTimeUnit val="months"/>
      </c:dateAx>
      <c:valAx>
        <c:axId val="-494674736"/>
        <c:scaling>
          <c:orientation val="minMax"/>
          <c:max val="35"/>
          <c:min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Cents/pound</a:t>
                </a:r>
              </a:p>
            </c:rich>
          </c:tx>
          <c:layout>
            <c:manualLayout>
              <c:xMode val="edge"/>
              <c:yMode val="edge"/>
              <c:x val="5.4150515461851331E-2"/>
              <c:y val="0.1241290947418514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Argentine soybean industry is hampered by tighter supplies,</a:t>
            </a:r>
            <a:r>
              <a:rPr lang="en-US" sz="1050" baseline="0"/>
              <a:t> h</a:t>
            </a:r>
            <a:r>
              <a:rPr lang="en-US" sz="1050"/>
              <a:t>igher</a:t>
            </a:r>
            <a:r>
              <a:rPr lang="en-US" sz="1050" baseline="0"/>
              <a:t> export taxes </a:t>
            </a:r>
            <a:endParaRPr lang="en-US" sz="1050"/>
          </a:p>
        </c:rich>
      </c:tx>
      <c:layout>
        <c:manualLayout>
          <c:xMode val="edge"/>
          <c:yMode val="edge"/>
          <c:x val="5.2168719093080455E-2"/>
          <c:y val="6.208471813436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2'!$B$1:$B$3</c:f>
              <c:strCache>
                <c:ptCount val="3"/>
                <c:pt idx="0">
                  <c:v>Soybean</c:v>
                </c:pt>
                <c:pt idx="1">
                  <c:v> crush</c:v>
                </c:pt>
                <c:pt idx="2">
                  <c:v>2018/19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2'!$B$4:$B$15</c:f>
              <c:numCache>
                <c:formatCode>0.0</c:formatCode>
                <c:ptCount val="12"/>
                <c:pt idx="0">
                  <c:v>3.3119870000000002</c:v>
                </c:pt>
                <c:pt idx="1">
                  <c:v>6.4825100000000004</c:v>
                </c:pt>
                <c:pt idx="2">
                  <c:v>8.9372520000000009</c:v>
                </c:pt>
                <c:pt idx="3">
                  <c:v>11.435280000000001</c:v>
                </c:pt>
                <c:pt idx="4">
                  <c:v>13.784928000000001</c:v>
                </c:pt>
                <c:pt idx="5">
                  <c:v>16.697975999999997</c:v>
                </c:pt>
                <c:pt idx="6">
                  <c:v>20.523505999999998</c:v>
                </c:pt>
                <c:pt idx="7">
                  <c:v>24.501411999999995</c:v>
                </c:pt>
                <c:pt idx="8">
                  <c:v>28.803260999999999</c:v>
                </c:pt>
                <c:pt idx="9">
                  <c:v>33.259917999999999</c:v>
                </c:pt>
                <c:pt idx="10">
                  <c:v>37.414176999999995</c:v>
                </c:pt>
                <c:pt idx="11">
                  <c:v>40.567461999999999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ser>
          <c:idx val="2"/>
          <c:order val="1"/>
          <c:tx>
            <c:strRef>
              <c:f>'Oil Crops Chart Gallery Fig 2'!$C$1:$C$3</c:f>
              <c:strCache>
                <c:ptCount val="3"/>
                <c:pt idx="0">
                  <c:v>Soybean</c:v>
                </c:pt>
                <c:pt idx="1">
                  <c:v> crush</c:v>
                </c:pt>
                <c:pt idx="2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2'!$C$4:$C$15</c:f>
              <c:numCache>
                <c:formatCode>0.0</c:formatCode>
                <c:ptCount val="12"/>
                <c:pt idx="0">
                  <c:v>3.93438</c:v>
                </c:pt>
                <c:pt idx="1">
                  <c:v>6.8685200000000002</c:v>
                </c:pt>
                <c:pt idx="2">
                  <c:v>9.6135300000000008</c:v>
                </c:pt>
                <c:pt idx="3">
                  <c:v>11.929470000000002</c:v>
                </c:pt>
                <c:pt idx="4">
                  <c:v>14.559640000000002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ser>
          <c:idx val="3"/>
          <c:order val="2"/>
          <c:tx>
            <c:strRef>
              <c:f>'Oil Crops Chart Gallery Fig 2'!$D$1:$D$3</c:f>
              <c:strCache>
                <c:ptCount val="3"/>
                <c:pt idx="0">
                  <c:v>Soybean meal </c:v>
                </c:pt>
                <c:pt idx="1">
                  <c:v>exports</c:v>
                </c:pt>
                <c:pt idx="2">
                  <c:v>2018/19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2'!$D$4:$D$15</c:f>
              <c:numCache>
                <c:formatCode>0.0</c:formatCode>
                <c:ptCount val="12"/>
                <c:pt idx="0">
                  <c:v>2.3200874229999999</c:v>
                </c:pt>
                <c:pt idx="1">
                  <c:v>4.346788943</c:v>
                </c:pt>
                <c:pt idx="2">
                  <c:v>6.1847510829999992</c:v>
                </c:pt>
                <c:pt idx="3">
                  <c:v>8.2376695379999987</c:v>
                </c:pt>
                <c:pt idx="4">
                  <c:v>10.001517337999998</c:v>
                </c:pt>
                <c:pt idx="5">
                  <c:v>12.323969972999997</c:v>
                </c:pt>
                <c:pt idx="6">
                  <c:v>14.918411922999997</c:v>
                </c:pt>
                <c:pt idx="7">
                  <c:v>17.944435307999996</c:v>
                </c:pt>
                <c:pt idx="8">
                  <c:v>20.786951594999994</c:v>
                </c:pt>
                <c:pt idx="9">
                  <c:v>23.806411407999995</c:v>
                </c:pt>
                <c:pt idx="10">
                  <c:v>26.197296277999996</c:v>
                </c:pt>
                <c:pt idx="11">
                  <c:v>28.831985275999997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5-4B58-AAEE-B189C07D7A5A}"/>
            </c:ext>
          </c:extLst>
        </c:ser>
        <c:ser>
          <c:idx val="1"/>
          <c:order val="3"/>
          <c:tx>
            <c:strRef>
              <c:f>'Oil Crops Chart Gallery Fig 2'!$E$1:$E$3</c:f>
              <c:strCache>
                <c:ptCount val="3"/>
                <c:pt idx="0">
                  <c:v>Soybean meal </c:v>
                </c:pt>
                <c:pt idx="1">
                  <c:v>exports</c:v>
                </c:pt>
                <c:pt idx="2">
                  <c:v>2019/20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2'!$E$4:$E$15</c:f>
              <c:numCache>
                <c:formatCode>0.0</c:formatCode>
                <c:ptCount val="12"/>
                <c:pt idx="0">
                  <c:v>2.9754763710000001</c:v>
                </c:pt>
                <c:pt idx="1">
                  <c:v>5.3834169410000001</c:v>
                </c:pt>
                <c:pt idx="2">
                  <c:v>7.4577369859999996</c:v>
                </c:pt>
                <c:pt idx="3">
                  <c:v>9.2423979710000008</c:v>
                </c:pt>
                <c:pt idx="4">
                  <c:v>10.878783235999999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E-4B38-AD44-36BE9CE8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2190080"/>
        <c:axId val="-492204224"/>
      </c:line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</a:t>
                </a:r>
                <a:r>
                  <a:rPr lang="en-US" baseline="0"/>
                  <a:t>Argentine Ministry of Agriculture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5.5656993526938744E-2"/>
              <c:y val="0.119327155513242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13073230345082"/>
          <c:y val="0.1990499809751903"/>
          <c:w val="0.29376337662247454"/>
          <c:h val="9.222091128299095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113147</xdr:colOff>
      <xdr:row>0</xdr:row>
      <xdr:rowOff>151533</xdr:rowOff>
    </xdr:from>
    <xdr:to>
      <xdr:col>17</xdr:col>
      <xdr:colOff>430936</xdr:colOff>
      <xdr:row>26</xdr:row>
      <xdr:rowOff>94383</xdr:rowOff>
    </xdr:to>
    <xdr:graphicFrame macro="">
      <xdr:nvGraphicFramePr>
        <xdr:cNvPr id="3077" name="Chart 4" descr="Outstanding U.S. exports sales lack signs of previous summer revivals&#10;&#10;A chart of weekly U.S. sales commitments of soybeans.">
          <a:extLst>
            <a:ext uri="{FF2B5EF4-FFF2-40B4-BE49-F238E27FC236}">
              <a16:creationId xmlns:a16="http://schemas.microsoft.com/office/drawing/2014/main" id="{00000000-0008-0000-08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277090</xdr:colOff>
      <xdr:row>1</xdr:row>
      <xdr:rowOff>25401</xdr:rowOff>
    </xdr:from>
    <xdr:to>
      <xdr:col>7</xdr:col>
      <xdr:colOff>303069</xdr:colOff>
      <xdr:row>2</xdr:row>
      <xdr:rowOff>42719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455390" y="203201"/>
          <a:ext cx="635579" cy="1760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0</xdr:rowOff>
    </xdr:from>
    <xdr:to>
      <xdr:col>12</xdr:col>
      <xdr:colOff>574964</xdr:colOff>
      <xdr:row>27</xdr:row>
      <xdr:rowOff>74468</xdr:rowOff>
    </xdr:to>
    <xdr:graphicFrame macro="">
      <xdr:nvGraphicFramePr>
        <xdr:cNvPr id="2" name="Chart 4" descr="Soybean oil price volatility increases as output expands and domestic use dims&#10;&#10;A chart of monthly soybean oil price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520699</xdr:colOff>
      <xdr:row>1</xdr:row>
      <xdr:rowOff>34925</xdr:rowOff>
    </xdr:from>
    <xdr:to>
      <xdr:col>3</xdr:col>
      <xdr:colOff>485774</xdr:colOff>
      <xdr:row>2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457449" y="212725"/>
          <a:ext cx="714375" cy="16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51953</xdr:colOff>
      <xdr:row>0</xdr:row>
      <xdr:rowOff>49067</xdr:rowOff>
    </xdr:from>
    <xdr:to>
      <xdr:col>16</xdr:col>
      <xdr:colOff>495588</xdr:colOff>
      <xdr:row>24</xdr:row>
      <xdr:rowOff>110547</xdr:rowOff>
    </xdr:to>
    <xdr:graphicFrame macro="">
      <xdr:nvGraphicFramePr>
        <xdr:cNvPr id="3" name="Chart 4" descr="Argentine soybean sector is hampered by tighter supplies, higher export taxes&#10;&#10;A chart of cumulative Argentine soybean crush and soybean meal exports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366571</xdr:colOff>
      <xdr:row>0</xdr:row>
      <xdr:rowOff>95247</xdr:rowOff>
    </xdr:from>
    <xdr:to>
      <xdr:col>7</xdr:col>
      <xdr:colOff>239573</xdr:colOff>
      <xdr:row>1</xdr:row>
      <xdr:rowOff>132770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292026" y="95247"/>
          <a:ext cx="611911" cy="216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30" customWidth="1"/>
    <col min="2" max="16384" width="9.7265625" style="22"/>
  </cols>
  <sheetData>
    <row r="1" spans="1:3" ht="44.25" customHeight="1" x14ac:dyDescent="0.25">
      <c r="A1" s="21"/>
    </row>
    <row r="2" spans="1:3" ht="18" x14ac:dyDescent="0.4">
      <c r="A2" s="23" t="s">
        <v>112</v>
      </c>
    </row>
    <row r="3" spans="1:3" s="25" customFormat="1" ht="10" x14ac:dyDescent="0.2">
      <c r="A3" s="24"/>
    </row>
    <row r="4" spans="1:3" ht="13" x14ac:dyDescent="0.3">
      <c r="A4" s="26" t="s">
        <v>113</v>
      </c>
    </row>
    <row r="5" spans="1:3" ht="13" x14ac:dyDescent="0.3">
      <c r="A5" s="34">
        <f ca="1">TODAY()</f>
        <v>43934</v>
      </c>
      <c r="B5" s="27"/>
    </row>
    <row r="6" spans="1:3" s="25" customFormat="1" x14ac:dyDescent="0.25">
      <c r="A6" s="24"/>
      <c r="B6" s="27"/>
      <c r="C6" s="28"/>
    </row>
    <row r="7" spans="1:3" ht="13" x14ac:dyDescent="0.3">
      <c r="A7" s="33" t="s">
        <v>156</v>
      </c>
      <c r="B7" s="29"/>
      <c r="C7" s="25"/>
    </row>
    <row r="8" spans="1:3" ht="13" x14ac:dyDescent="0.3">
      <c r="A8" s="33" t="s">
        <v>157</v>
      </c>
      <c r="B8" s="31"/>
    </row>
    <row r="9" spans="1:3" ht="13" x14ac:dyDescent="0.3">
      <c r="A9" s="33" t="s">
        <v>158</v>
      </c>
      <c r="B9" s="31"/>
    </row>
    <row r="10" spans="1:3" ht="13" x14ac:dyDescent="0.3">
      <c r="A10" s="33" t="s">
        <v>159</v>
      </c>
      <c r="B10" s="31"/>
    </row>
    <row r="11" spans="1:3" ht="13" x14ac:dyDescent="0.3">
      <c r="A11" s="33" t="s">
        <v>160</v>
      </c>
      <c r="B11" s="31"/>
    </row>
    <row r="12" spans="1:3" ht="13" x14ac:dyDescent="0.3">
      <c r="A12" s="33" t="s">
        <v>161</v>
      </c>
      <c r="B12" s="31"/>
    </row>
    <row r="13" spans="1:3" ht="13" x14ac:dyDescent="0.3">
      <c r="A13" s="33" t="s">
        <v>162</v>
      </c>
      <c r="B13" s="31"/>
    </row>
    <row r="14" spans="1:3" ht="13" x14ac:dyDescent="0.3">
      <c r="A14" s="33" t="s">
        <v>45</v>
      </c>
      <c r="B14" s="31"/>
    </row>
    <row r="15" spans="1:3" ht="13" x14ac:dyDescent="0.3">
      <c r="A15" s="33" t="s">
        <v>18</v>
      </c>
      <c r="B15" s="31"/>
    </row>
    <row r="16" spans="1:3" ht="13" x14ac:dyDescent="0.3">
      <c r="A16" s="33" t="s">
        <v>37</v>
      </c>
      <c r="B16" s="31"/>
    </row>
    <row r="17" spans="1:2" ht="13" x14ac:dyDescent="0.3">
      <c r="A17" s="32" t="s">
        <v>163</v>
      </c>
      <c r="B17" s="31"/>
    </row>
    <row r="18" spans="1:2" x14ac:dyDescent="0.25">
      <c r="A18" s="32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3"/>
  <sheetViews>
    <sheetView workbookViewId="0">
      <selection activeCell="A2" sqref="A2"/>
    </sheetView>
  </sheetViews>
  <sheetFormatPr defaultRowHeight="12.5" x14ac:dyDescent="0.25"/>
  <cols>
    <col min="1" max="1" width="17" style="155" customWidth="1"/>
    <col min="2" max="4" width="10.7265625" style="160" customWidth="1"/>
    <col min="5" max="5" width="10.7265625" style="1" customWidth="1"/>
    <col min="7" max="7" width="10.7265625" style="16" bestFit="1" customWidth="1"/>
  </cols>
  <sheetData>
    <row r="1" spans="1:13" ht="14" x14ac:dyDescent="0.3">
      <c r="A1" s="154" t="s">
        <v>168</v>
      </c>
      <c r="B1" s="36"/>
      <c r="C1" s="36"/>
      <c r="D1" s="36"/>
      <c r="E1" s="36"/>
      <c r="F1" s="137"/>
      <c r="G1" s="123"/>
      <c r="J1" s="10"/>
      <c r="K1" s="19"/>
    </row>
    <row r="2" spans="1:13" ht="14" x14ac:dyDescent="0.3">
      <c r="A2" s="154"/>
      <c r="B2" s="154" t="s">
        <v>221</v>
      </c>
      <c r="C2" s="162"/>
      <c r="E2" s="160"/>
      <c r="G2" s="36"/>
    </row>
    <row r="3" spans="1:13" x14ac:dyDescent="0.25">
      <c r="B3" s="160" t="s">
        <v>222</v>
      </c>
      <c r="C3" s="162"/>
      <c r="E3" s="160"/>
      <c r="F3" s="137"/>
      <c r="G3"/>
    </row>
    <row r="4" spans="1:13" ht="14" x14ac:dyDescent="0.3">
      <c r="A4" s="168">
        <v>43391</v>
      </c>
      <c r="B4" s="100">
        <v>28.89</v>
      </c>
      <c r="E4" s="160"/>
      <c r="F4" s="147"/>
      <c r="G4" s="131"/>
      <c r="J4" s="133"/>
      <c r="K4" s="134"/>
    </row>
    <row r="5" spans="1:13" ht="14" x14ac:dyDescent="0.3">
      <c r="A5" s="168">
        <v>43423</v>
      </c>
      <c r="B5" s="100">
        <v>27.492999999999999</v>
      </c>
      <c r="E5" s="160"/>
      <c r="F5" s="147"/>
      <c r="G5" s="131"/>
      <c r="J5" s="133"/>
      <c r="K5" s="134"/>
    </row>
    <row r="6" spans="1:13" ht="14" x14ac:dyDescent="0.3">
      <c r="A6" s="168">
        <v>43454</v>
      </c>
      <c r="B6" s="100">
        <v>28.14</v>
      </c>
      <c r="E6" s="160"/>
      <c r="F6" s="147"/>
      <c r="G6" s="131"/>
      <c r="J6" s="133"/>
      <c r="K6" s="134"/>
    </row>
    <row r="7" spans="1:13" ht="14" x14ac:dyDescent="0.3">
      <c r="A7" s="168">
        <v>43483</v>
      </c>
      <c r="B7" s="100">
        <v>28.44</v>
      </c>
      <c r="E7" s="160"/>
      <c r="F7" s="147"/>
      <c r="G7" s="131"/>
      <c r="J7" s="133"/>
      <c r="K7" s="134"/>
    </row>
    <row r="8" spans="1:13" ht="14" x14ac:dyDescent="0.3">
      <c r="A8" s="168">
        <v>43512</v>
      </c>
      <c r="B8" s="100">
        <v>29.58</v>
      </c>
      <c r="E8" s="160"/>
      <c r="F8" s="147"/>
      <c r="G8" s="131"/>
      <c r="J8" s="133"/>
      <c r="K8" s="134"/>
    </row>
    <row r="9" spans="1:13" ht="14" x14ac:dyDescent="0.3">
      <c r="A9" s="168">
        <v>43541</v>
      </c>
      <c r="B9" s="100">
        <v>28.62</v>
      </c>
      <c r="E9" s="160"/>
      <c r="F9" s="147"/>
      <c r="G9" s="131"/>
      <c r="I9" s="134"/>
      <c r="J9" s="133"/>
      <c r="K9" s="134"/>
    </row>
    <row r="10" spans="1:13" ht="14" x14ac:dyDescent="0.3">
      <c r="A10" s="168">
        <v>43570</v>
      </c>
      <c r="B10" s="100">
        <v>27.86</v>
      </c>
      <c r="E10" s="160"/>
      <c r="F10" s="147"/>
      <c r="G10" s="131"/>
      <c r="I10" s="134"/>
      <c r="J10" s="133"/>
      <c r="K10" s="134"/>
    </row>
    <row r="11" spans="1:13" ht="14" x14ac:dyDescent="0.3">
      <c r="A11" s="168">
        <v>43599</v>
      </c>
      <c r="B11" s="100">
        <v>26.93</v>
      </c>
      <c r="E11" s="160"/>
      <c r="F11" s="147"/>
      <c r="G11" s="131"/>
      <c r="I11" s="134"/>
      <c r="J11" s="133"/>
    </row>
    <row r="12" spans="1:13" ht="14" x14ac:dyDescent="0.3">
      <c r="A12" s="168">
        <v>43628</v>
      </c>
      <c r="B12" s="100">
        <v>28.24</v>
      </c>
      <c r="E12" s="160"/>
      <c r="F12" s="147"/>
      <c r="G12" s="131"/>
      <c r="I12" s="134"/>
      <c r="J12" s="133"/>
    </row>
    <row r="13" spans="1:13" ht="14" x14ac:dyDescent="0.3">
      <c r="A13" s="168">
        <v>43657</v>
      </c>
      <c r="B13" s="100">
        <v>27.68</v>
      </c>
      <c r="E13" s="151"/>
      <c r="F13" s="147"/>
      <c r="G13" s="131"/>
      <c r="I13" s="134"/>
      <c r="J13" s="133"/>
    </row>
    <row r="14" spans="1:13" ht="14" x14ac:dyDescent="0.3">
      <c r="A14" s="168">
        <v>43686</v>
      </c>
      <c r="B14" s="100">
        <v>28.41</v>
      </c>
      <c r="E14" s="151"/>
      <c r="F14" s="147"/>
      <c r="G14" s="131"/>
      <c r="I14" s="134"/>
      <c r="J14" s="133"/>
    </row>
    <row r="15" spans="1:13" ht="14" x14ac:dyDescent="0.3">
      <c r="A15" s="168">
        <v>43715</v>
      </c>
      <c r="B15" s="100">
        <v>28.81</v>
      </c>
      <c r="E15" s="151"/>
      <c r="F15" s="147"/>
      <c r="G15" s="134"/>
      <c r="I15" s="134"/>
    </row>
    <row r="16" spans="1:13" ht="14" x14ac:dyDescent="0.3">
      <c r="A16" s="168">
        <v>43744</v>
      </c>
      <c r="B16" s="100">
        <v>30.14</v>
      </c>
      <c r="E16" s="152"/>
      <c r="F16" s="132"/>
      <c r="G16" s="134"/>
      <c r="K16" s="131"/>
      <c r="L16" s="131"/>
      <c r="M16" s="131"/>
    </row>
    <row r="17" spans="1:12" ht="14" x14ac:dyDescent="0.3">
      <c r="A17" s="168">
        <v>43773</v>
      </c>
      <c r="B17" s="100">
        <v>30.62</v>
      </c>
      <c r="E17" s="153"/>
      <c r="F17" s="132"/>
      <c r="G17" s="134"/>
      <c r="K17" s="13"/>
      <c r="L17" s="13"/>
    </row>
    <row r="18" spans="1:12" ht="14" x14ac:dyDescent="0.3">
      <c r="A18" s="168">
        <v>43802</v>
      </c>
      <c r="B18" s="100">
        <v>32.270000000000003</v>
      </c>
      <c r="E18" s="153"/>
      <c r="F18" s="132"/>
      <c r="G18" s="134"/>
      <c r="I18" s="133"/>
      <c r="J18" s="133"/>
      <c r="K18" s="13"/>
      <c r="L18" s="13"/>
    </row>
    <row r="19" spans="1:12" ht="14" x14ac:dyDescent="0.3">
      <c r="A19" s="168">
        <v>43831</v>
      </c>
      <c r="B19" s="100">
        <v>33.04</v>
      </c>
      <c r="E19" s="153"/>
      <c r="F19" s="132"/>
      <c r="G19" s="134"/>
      <c r="I19" s="9"/>
      <c r="J19" s="133"/>
      <c r="K19" s="13"/>
      <c r="L19" s="13"/>
    </row>
    <row r="20" spans="1:12" ht="14" x14ac:dyDescent="0.3">
      <c r="A20" s="168">
        <v>43889</v>
      </c>
      <c r="B20" s="100">
        <v>30.26</v>
      </c>
      <c r="E20" s="153"/>
      <c r="F20" s="132"/>
      <c r="G20" s="134"/>
      <c r="I20" s="9"/>
      <c r="J20" s="133"/>
      <c r="K20" s="13"/>
      <c r="L20" s="13"/>
    </row>
    <row r="21" spans="1:12" ht="14" x14ac:dyDescent="0.3">
      <c r="A21" s="168">
        <v>43918</v>
      </c>
      <c r="B21" s="100">
        <v>27.04</v>
      </c>
      <c r="E21" s="153"/>
      <c r="F21" s="132"/>
      <c r="G21" s="134"/>
      <c r="I21" s="9"/>
      <c r="J21" s="133"/>
      <c r="K21" s="13"/>
      <c r="L21" s="13"/>
    </row>
    <row r="22" spans="1:12" x14ac:dyDescent="0.25">
      <c r="E22" s="153"/>
      <c r="F22" s="132"/>
      <c r="G22" s="134"/>
      <c r="I22" s="9"/>
      <c r="J22" s="133"/>
      <c r="K22" s="13"/>
      <c r="L22" s="13"/>
    </row>
    <row r="23" spans="1:12" x14ac:dyDescent="0.25">
      <c r="A23" s="158"/>
      <c r="E23" s="153"/>
      <c r="F23" s="132"/>
      <c r="G23" s="9"/>
      <c r="I23" s="9"/>
      <c r="J23" s="133"/>
      <c r="K23" s="13"/>
      <c r="L23" s="13"/>
    </row>
    <row r="24" spans="1:12" x14ac:dyDescent="0.25">
      <c r="A24" s="158"/>
      <c r="E24" s="153"/>
      <c r="F24" s="132"/>
      <c r="G24" s="9"/>
      <c r="I24" s="9"/>
      <c r="J24" s="133"/>
      <c r="K24" s="13"/>
      <c r="L24" s="13"/>
    </row>
    <row r="25" spans="1:12" x14ac:dyDescent="0.25">
      <c r="A25" s="158"/>
      <c r="E25" s="153"/>
      <c r="F25" s="132"/>
      <c r="G25" s="9"/>
      <c r="I25" s="9"/>
      <c r="J25" s="133"/>
      <c r="K25" s="13"/>
      <c r="L25" s="13"/>
    </row>
    <row r="26" spans="1:12" x14ac:dyDescent="0.25">
      <c r="A26" s="158"/>
      <c r="E26" s="153"/>
      <c r="F26" s="132"/>
      <c r="G26" s="9"/>
      <c r="I26" s="9"/>
      <c r="J26" s="133"/>
      <c r="K26" s="13"/>
      <c r="L26" s="13"/>
    </row>
    <row r="27" spans="1:12" x14ac:dyDescent="0.25">
      <c r="A27" s="158"/>
      <c r="E27" s="153"/>
      <c r="F27" s="132"/>
      <c r="G27" s="9"/>
      <c r="I27" s="9"/>
      <c r="J27" s="133"/>
      <c r="K27" s="13"/>
      <c r="L27" s="13"/>
    </row>
    <row r="28" spans="1:12" x14ac:dyDescent="0.25">
      <c r="A28" s="158"/>
      <c r="E28" s="153"/>
      <c r="F28" s="132"/>
      <c r="G28" s="9"/>
      <c r="I28" s="9"/>
      <c r="J28" s="133"/>
      <c r="K28" s="13"/>
      <c r="L28" s="13"/>
    </row>
    <row r="29" spans="1:12" x14ac:dyDescent="0.25">
      <c r="A29" s="158"/>
      <c r="E29" s="153"/>
      <c r="F29" s="132"/>
      <c r="G29" s="9"/>
      <c r="I29" s="9"/>
      <c r="J29" s="133"/>
    </row>
    <row r="30" spans="1:12" x14ac:dyDescent="0.25">
      <c r="A30" s="158"/>
      <c r="E30" s="152"/>
      <c r="F30" s="9"/>
      <c r="G30" s="9"/>
      <c r="I30" s="9"/>
      <c r="J30" s="133"/>
    </row>
    <row r="31" spans="1:12" x14ac:dyDescent="0.25">
      <c r="A31" s="158"/>
      <c r="E31" s="152"/>
      <c r="F31" s="133"/>
      <c r="G31" s="133"/>
      <c r="I31" s="133"/>
      <c r="J31" s="133"/>
    </row>
    <row r="32" spans="1:12" x14ac:dyDescent="0.25">
      <c r="A32" s="158"/>
      <c r="E32" s="152"/>
      <c r="F32" s="133"/>
      <c r="G32" s="133"/>
      <c r="I32" s="133"/>
      <c r="J32" s="133"/>
    </row>
    <row r="33" spans="1:10" x14ac:dyDescent="0.25">
      <c r="A33" s="158"/>
      <c r="E33" s="152"/>
      <c r="F33" s="133"/>
      <c r="G33" s="133"/>
      <c r="I33" s="133"/>
      <c r="J33" s="133"/>
    </row>
    <row r="34" spans="1:10" x14ac:dyDescent="0.25">
      <c r="A34" s="158"/>
      <c r="E34" s="152"/>
      <c r="F34" s="13"/>
      <c r="G34" s="13"/>
      <c r="I34" s="13"/>
    </row>
    <row r="35" spans="1:10" x14ac:dyDescent="0.25">
      <c r="A35" s="158"/>
      <c r="E35" s="152"/>
      <c r="F35" s="13"/>
      <c r="G35" s="13"/>
      <c r="I35" s="13"/>
    </row>
    <row r="36" spans="1:10" x14ac:dyDescent="0.25">
      <c r="A36" s="158"/>
      <c r="E36" s="152"/>
      <c r="F36" s="13"/>
      <c r="G36" s="13"/>
      <c r="I36" s="13"/>
    </row>
    <row r="37" spans="1:10" x14ac:dyDescent="0.25">
      <c r="A37" s="158"/>
      <c r="E37" s="152"/>
      <c r="F37" s="13"/>
      <c r="G37" s="13"/>
      <c r="I37" s="13"/>
    </row>
    <row r="38" spans="1:10" x14ac:dyDescent="0.25">
      <c r="A38" s="158"/>
      <c r="E38" s="152"/>
      <c r="F38" s="13"/>
      <c r="G38" s="13"/>
      <c r="I38" s="13"/>
    </row>
    <row r="39" spans="1:10" x14ac:dyDescent="0.25">
      <c r="A39" s="158"/>
      <c r="E39" s="152"/>
      <c r="F39" s="13"/>
      <c r="G39" s="13"/>
      <c r="I39" s="13"/>
    </row>
    <row r="40" spans="1:10" x14ac:dyDescent="0.25">
      <c r="A40" s="158"/>
      <c r="E40" s="152"/>
      <c r="F40" s="13"/>
      <c r="G40" s="13"/>
      <c r="I40" s="13"/>
    </row>
    <row r="41" spans="1:10" x14ac:dyDescent="0.25">
      <c r="A41" s="158"/>
      <c r="E41" s="152"/>
      <c r="F41" s="13"/>
      <c r="G41" s="13"/>
      <c r="I41" s="13"/>
    </row>
    <row r="42" spans="1:10" x14ac:dyDescent="0.25">
      <c r="A42" s="158"/>
      <c r="E42" s="152"/>
      <c r="F42" s="13"/>
      <c r="G42" s="13"/>
      <c r="I42" s="13"/>
    </row>
    <row r="43" spans="1:10" x14ac:dyDescent="0.25">
      <c r="A43" s="158"/>
      <c r="E43" s="152"/>
      <c r="F43" s="13"/>
      <c r="G43" s="13"/>
      <c r="I43" s="13"/>
    </row>
    <row r="44" spans="1:10" x14ac:dyDescent="0.25">
      <c r="A44" s="158"/>
      <c r="E44" s="121"/>
      <c r="G44" s="121"/>
    </row>
    <row r="45" spans="1:10" x14ac:dyDescent="0.25">
      <c r="A45" s="158"/>
      <c r="E45" s="121"/>
      <c r="G45" s="121"/>
    </row>
    <row r="46" spans="1:10" x14ac:dyDescent="0.25">
      <c r="A46" s="158"/>
      <c r="E46" s="121"/>
      <c r="G46" s="121"/>
    </row>
    <row r="47" spans="1:10" x14ac:dyDescent="0.25">
      <c r="A47" s="158"/>
      <c r="E47" s="121"/>
      <c r="G47" s="121"/>
    </row>
    <row r="48" spans="1:10" x14ac:dyDescent="0.25">
      <c r="A48" s="158"/>
      <c r="E48" s="121"/>
      <c r="G48" s="121"/>
    </row>
    <row r="49" spans="1:7" x14ac:dyDescent="0.25">
      <c r="A49" s="158"/>
      <c r="E49" s="121"/>
      <c r="G49" s="121"/>
    </row>
    <row r="50" spans="1:7" x14ac:dyDescent="0.25">
      <c r="A50" s="158"/>
      <c r="E50" s="121"/>
      <c r="G50" s="121"/>
    </row>
    <row r="51" spans="1:7" x14ac:dyDescent="0.25">
      <c r="A51" s="159"/>
      <c r="E51" s="121"/>
      <c r="G51" s="121"/>
    </row>
    <row r="52" spans="1:7" x14ac:dyDescent="0.25">
      <c r="A52" s="159"/>
      <c r="E52" s="121"/>
      <c r="G52" s="121"/>
    </row>
    <row r="53" spans="1:7" x14ac:dyDescent="0.25">
      <c r="A53" s="159"/>
      <c r="E53" s="121"/>
      <c r="G53" s="121"/>
    </row>
    <row r="54" spans="1:7" x14ac:dyDescent="0.25">
      <c r="A54" s="159"/>
      <c r="E54" s="121"/>
      <c r="G54" s="121"/>
    </row>
    <row r="55" spans="1:7" x14ac:dyDescent="0.25">
      <c r="A55" s="159"/>
      <c r="E55" s="121"/>
      <c r="G55" s="121"/>
    </row>
    <row r="56" spans="1:7" x14ac:dyDescent="0.25">
      <c r="A56" s="159"/>
      <c r="E56" s="121"/>
      <c r="G56" s="121"/>
    </row>
    <row r="57" spans="1:7" x14ac:dyDescent="0.25">
      <c r="A57" s="159"/>
      <c r="E57" s="121"/>
      <c r="G57" s="121"/>
    </row>
    <row r="58" spans="1:7" x14ac:dyDescent="0.25">
      <c r="A58" s="159"/>
      <c r="E58" s="121"/>
      <c r="G58" s="121"/>
    </row>
    <row r="59" spans="1:7" x14ac:dyDescent="0.25">
      <c r="A59" s="159"/>
      <c r="E59" s="121"/>
      <c r="G59" s="121"/>
    </row>
    <row r="60" spans="1:7" x14ac:dyDescent="0.25">
      <c r="A60" s="159"/>
      <c r="E60" s="121"/>
      <c r="G60" s="121"/>
    </row>
    <row r="61" spans="1:7" x14ac:dyDescent="0.25">
      <c r="A61" s="159"/>
      <c r="E61" s="121"/>
      <c r="G61" s="121"/>
    </row>
    <row r="62" spans="1:7" x14ac:dyDescent="0.25">
      <c r="A62" s="159"/>
      <c r="E62" s="121"/>
      <c r="G62" s="121"/>
    </row>
    <row r="63" spans="1:7" x14ac:dyDescent="0.25">
      <c r="A63" s="159"/>
      <c r="E63" s="121"/>
      <c r="G63" s="121"/>
    </row>
    <row r="64" spans="1:7" x14ac:dyDescent="0.25">
      <c r="A64" s="159"/>
      <c r="E64" s="121"/>
      <c r="G64" s="121"/>
    </row>
    <row r="65" spans="1:7" x14ac:dyDescent="0.25">
      <c r="A65" s="159"/>
      <c r="E65" s="121"/>
      <c r="G65" s="121"/>
    </row>
    <row r="66" spans="1:7" x14ac:dyDescent="0.25">
      <c r="A66" s="159"/>
      <c r="E66" s="121"/>
      <c r="G66" s="121"/>
    </row>
    <row r="67" spans="1:7" x14ac:dyDescent="0.25">
      <c r="A67" s="159"/>
      <c r="E67" s="121"/>
      <c r="G67" s="121"/>
    </row>
    <row r="68" spans="1:7" x14ac:dyDescent="0.25">
      <c r="A68" s="159"/>
      <c r="E68" s="121"/>
      <c r="G68" s="121"/>
    </row>
    <row r="69" spans="1:7" x14ac:dyDescent="0.25">
      <c r="A69" s="159"/>
      <c r="E69" s="121"/>
      <c r="G69" s="121"/>
    </row>
    <row r="70" spans="1:7" x14ac:dyDescent="0.25">
      <c r="A70" s="159"/>
      <c r="E70" s="121"/>
      <c r="G70" s="121"/>
    </row>
    <row r="71" spans="1:7" x14ac:dyDescent="0.25">
      <c r="A71" s="159"/>
      <c r="E71" s="121"/>
      <c r="G71" s="121"/>
    </row>
    <row r="72" spans="1:7" x14ac:dyDescent="0.25">
      <c r="A72" s="159"/>
      <c r="E72" s="121"/>
      <c r="G72" s="121"/>
    </row>
    <row r="73" spans="1:7" x14ac:dyDescent="0.25">
      <c r="A73" s="159"/>
      <c r="E73" s="121"/>
      <c r="G73" s="121"/>
    </row>
    <row r="74" spans="1:7" x14ac:dyDescent="0.25">
      <c r="A74" s="159"/>
      <c r="E74" s="121"/>
      <c r="G74" s="121"/>
    </row>
    <row r="75" spans="1:7" x14ac:dyDescent="0.25">
      <c r="A75" s="159"/>
      <c r="E75" s="121"/>
      <c r="G75" s="121"/>
    </row>
    <row r="76" spans="1:7" x14ac:dyDescent="0.25">
      <c r="A76" s="159"/>
      <c r="E76" s="121"/>
      <c r="G76" s="121"/>
    </row>
    <row r="77" spans="1:7" x14ac:dyDescent="0.25">
      <c r="A77" s="159"/>
      <c r="E77" s="121"/>
      <c r="G77" s="121"/>
    </row>
    <row r="78" spans="1:7" x14ac:dyDescent="0.25">
      <c r="A78" s="159"/>
      <c r="E78" s="121"/>
      <c r="G78" s="121"/>
    </row>
    <row r="79" spans="1:7" x14ac:dyDescent="0.25">
      <c r="A79" s="159"/>
      <c r="E79" s="121"/>
      <c r="G79" s="121"/>
    </row>
    <row r="80" spans="1:7" x14ac:dyDescent="0.25">
      <c r="A80" s="159"/>
      <c r="E80" s="121"/>
      <c r="G80" s="121"/>
    </row>
    <row r="81" spans="1:7" x14ac:dyDescent="0.25">
      <c r="A81" s="159"/>
      <c r="E81" s="121"/>
      <c r="G81" s="121"/>
    </row>
    <row r="82" spans="1:7" x14ac:dyDescent="0.25">
      <c r="A82" s="159"/>
      <c r="E82" s="121"/>
      <c r="G82" s="121"/>
    </row>
    <row r="83" spans="1:7" x14ac:dyDescent="0.25">
      <c r="A83" s="159"/>
      <c r="E83" s="121"/>
      <c r="G83" s="121"/>
    </row>
    <row r="84" spans="1:7" x14ac:dyDescent="0.25">
      <c r="A84" s="159"/>
      <c r="E84" s="121"/>
      <c r="G84" s="121"/>
    </row>
    <row r="85" spans="1:7" x14ac:dyDescent="0.25">
      <c r="A85" s="159"/>
      <c r="E85" s="121"/>
      <c r="G85" s="121"/>
    </row>
    <row r="86" spans="1:7" x14ac:dyDescent="0.25">
      <c r="A86" s="159"/>
      <c r="E86" s="121"/>
      <c r="G86" s="121"/>
    </row>
    <row r="87" spans="1:7" x14ac:dyDescent="0.25">
      <c r="A87" s="159"/>
      <c r="E87" s="121"/>
      <c r="G87" s="121"/>
    </row>
    <row r="88" spans="1:7" x14ac:dyDescent="0.25">
      <c r="A88" s="159"/>
      <c r="E88" s="121"/>
      <c r="G88" s="121"/>
    </row>
    <row r="89" spans="1:7" x14ac:dyDescent="0.25">
      <c r="A89" s="159"/>
      <c r="E89" s="121"/>
      <c r="G89" s="121"/>
    </row>
    <row r="90" spans="1:7" x14ac:dyDescent="0.25">
      <c r="A90" s="159"/>
      <c r="E90" s="121"/>
      <c r="G90" s="121"/>
    </row>
    <row r="91" spans="1:7" x14ac:dyDescent="0.25">
      <c r="A91" s="159"/>
      <c r="E91" s="121"/>
      <c r="G91" s="121"/>
    </row>
    <row r="92" spans="1:7" x14ac:dyDescent="0.25">
      <c r="A92" s="159"/>
      <c r="E92" s="121"/>
      <c r="G92" s="121"/>
    </row>
    <row r="93" spans="1:7" x14ac:dyDescent="0.25">
      <c r="A93" s="159"/>
      <c r="E93" s="121"/>
      <c r="G93" s="121"/>
    </row>
    <row r="94" spans="1:7" x14ac:dyDescent="0.25">
      <c r="A94" s="159"/>
      <c r="E94" s="121"/>
      <c r="G94" s="121"/>
    </row>
    <row r="95" spans="1:7" x14ac:dyDescent="0.25">
      <c r="A95" s="159"/>
      <c r="E95" s="121"/>
      <c r="G95" s="121"/>
    </row>
    <row r="96" spans="1:7" x14ac:dyDescent="0.25">
      <c r="A96" s="159"/>
      <c r="E96" s="121"/>
      <c r="G96" s="121"/>
    </row>
    <row r="97" spans="1:7" x14ac:dyDescent="0.25">
      <c r="A97" s="159"/>
      <c r="E97" s="121"/>
      <c r="G97" s="121"/>
    </row>
    <row r="98" spans="1:7" x14ac:dyDescent="0.25">
      <c r="A98" s="159"/>
      <c r="E98" s="121"/>
      <c r="G98" s="121"/>
    </row>
    <row r="99" spans="1:7" x14ac:dyDescent="0.25">
      <c r="A99" s="159"/>
      <c r="E99" s="121"/>
      <c r="G99" s="121"/>
    </row>
    <row r="100" spans="1:7" x14ac:dyDescent="0.25">
      <c r="A100" s="159"/>
      <c r="E100" s="121"/>
      <c r="G100" s="121"/>
    </row>
    <row r="101" spans="1:7" x14ac:dyDescent="0.25">
      <c r="A101" s="159"/>
      <c r="E101" s="121"/>
      <c r="G101" s="121"/>
    </row>
    <row r="102" spans="1:7" x14ac:dyDescent="0.25">
      <c r="A102" s="159"/>
      <c r="E102" s="121"/>
      <c r="G102" s="121"/>
    </row>
    <row r="103" spans="1:7" x14ac:dyDescent="0.25">
      <c r="A103" s="159"/>
      <c r="E103" s="121"/>
      <c r="G103" s="121"/>
    </row>
    <row r="104" spans="1:7" x14ac:dyDescent="0.25">
      <c r="A104" s="159"/>
      <c r="E104" s="121"/>
      <c r="G104" s="121"/>
    </row>
    <row r="105" spans="1:7" x14ac:dyDescent="0.25">
      <c r="A105" s="159"/>
      <c r="E105" s="121"/>
      <c r="G105" s="121"/>
    </row>
    <row r="106" spans="1:7" x14ac:dyDescent="0.25">
      <c r="A106" s="159"/>
      <c r="E106" s="121"/>
      <c r="G106" s="121"/>
    </row>
    <row r="107" spans="1:7" x14ac:dyDescent="0.25">
      <c r="A107" s="159"/>
      <c r="E107" s="121"/>
      <c r="G107" s="121"/>
    </row>
    <row r="108" spans="1:7" x14ac:dyDescent="0.25">
      <c r="A108" s="159"/>
      <c r="E108" s="121"/>
      <c r="G108" s="121"/>
    </row>
    <row r="109" spans="1:7" x14ac:dyDescent="0.25">
      <c r="A109" s="159"/>
      <c r="E109" s="121"/>
      <c r="G109" s="121"/>
    </row>
    <row r="110" spans="1:7" x14ac:dyDescent="0.25">
      <c r="A110" s="159"/>
      <c r="E110" s="121"/>
      <c r="G110" s="121"/>
    </row>
    <row r="111" spans="1:7" x14ac:dyDescent="0.25">
      <c r="A111" s="159"/>
      <c r="E111" s="121"/>
      <c r="G111" s="121"/>
    </row>
    <row r="112" spans="1:7" x14ac:dyDescent="0.25">
      <c r="A112" s="159"/>
      <c r="E112" s="121"/>
      <c r="G112" s="121"/>
    </row>
    <row r="113" spans="1:7" x14ac:dyDescent="0.25">
      <c r="A113" s="159"/>
      <c r="E113" s="121"/>
      <c r="G113" s="121"/>
    </row>
    <row r="114" spans="1:7" x14ac:dyDescent="0.25">
      <c r="A114" s="159"/>
      <c r="E114" s="121"/>
      <c r="G114" s="121"/>
    </row>
    <row r="115" spans="1:7" x14ac:dyDescent="0.25">
      <c r="A115" s="159"/>
      <c r="E115" s="121"/>
      <c r="G115" s="121"/>
    </row>
    <row r="116" spans="1:7" x14ac:dyDescent="0.25">
      <c r="A116" s="159"/>
      <c r="E116" s="121"/>
      <c r="G116" s="121"/>
    </row>
    <row r="117" spans="1:7" x14ac:dyDescent="0.25">
      <c r="A117" s="159"/>
      <c r="E117" s="121"/>
      <c r="G117" s="121"/>
    </row>
    <row r="118" spans="1:7" x14ac:dyDescent="0.25">
      <c r="A118" s="159"/>
      <c r="E118" s="121"/>
      <c r="G118" s="121"/>
    </row>
    <row r="119" spans="1:7" x14ac:dyDescent="0.25">
      <c r="A119" s="159"/>
      <c r="E119" s="121"/>
      <c r="G119" s="121"/>
    </row>
    <row r="120" spans="1:7" x14ac:dyDescent="0.25">
      <c r="A120" s="159"/>
      <c r="E120" s="121"/>
      <c r="G120" s="121"/>
    </row>
    <row r="121" spans="1:7" x14ac:dyDescent="0.25">
      <c r="A121" s="159"/>
      <c r="E121" s="121"/>
      <c r="G121" s="121"/>
    </row>
    <row r="122" spans="1:7" x14ac:dyDescent="0.25">
      <c r="A122" s="159"/>
      <c r="E122" s="121"/>
      <c r="G122" s="121"/>
    </row>
    <row r="123" spans="1:7" x14ac:dyDescent="0.25">
      <c r="A123" s="159"/>
      <c r="E123" s="121"/>
      <c r="G123" s="121"/>
    </row>
    <row r="124" spans="1:7" x14ac:dyDescent="0.25">
      <c r="A124" s="159"/>
      <c r="E124" s="121"/>
      <c r="G124" s="121"/>
    </row>
    <row r="125" spans="1:7" x14ac:dyDescent="0.25">
      <c r="A125" s="159"/>
      <c r="E125" s="121"/>
      <c r="G125" s="121"/>
    </row>
    <row r="126" spans="1:7" x14ac:dyDescent="0.25">
      <c r="A126" s="159"/>
      <c r="E126" s="121"/>
      <c r="G126" s="121"/>
    </row>
    <row r="127" spans="1:7" x14ac:dyDescent="0.25">
      <c r="A127" s="159"/>
      <c r="E127" s="121"/>
      <c r="G127" s="121"/>
    </row>
    <row r="128" spans="1:7" x14ac:dyDescent="0.25">
      <c r="A128" s="159"/>
      <c r="E128" s="121"/>
      <c r="G128" s="121"/>
    </row>
    <row r="129" spans="1:7" x14ac:dyDescent="0.25">
      <c r="A129" s="159"/>
      <c r="E129" s="121"/>
      <c r="G129" s="121"/>
    </row>
    <row r="130" spans="1:7" x14ac:dyDescent="0.25">
      <c r="A130" s="159"/>
      <c r="E130" s="121"/>
      <c r="G130" s="121"/>
    </row>
    <row r="131" spans="1:7" x14ac:dyDescent="0.25">
      <c r="A131" s="159"/>
      <c r="E131" s="121"/>
    </row>
    <row r="132" spans="1:7" x14ac:dyDescent="0.25">
      <c r="A132" s="159"/>
      <c r="E132" s="121"/>
      <c r="G132" s="121"/>
    </row>
    <row r="133" spans="1:7" x14ac:dyDescent="0.25">
      <c r="A133" s="159"/>
      <c r="E133" s="121"/>
      <c r="G133" s="121"/>
    </row>
    <row r="134" spans="1:7" x14ac:dyDescent="0.25">
      <c r="A134" s="159"/>
      <c r="E134" s="121"/>
      <c r="G134" s="121"/>
    </row>
    <row r="135" spans="1:7" x14ac:dyDescent="0.25">
      <c r="A135" s="159"/>
      <c r="E135" s="121"/>
      <c r="G135" s="121"/>
    </row>
    <row r="136" spans="1:7" x14ac:dyDescent="0.25">
      <c r="A136" s="159"/>
      <c r="E136" s="121"/>
      <c r="G136" s="121"/>
    </row>
    <row r="137" spans="1:7" x14ac:dyDescent="0.25">
      <c r="A137" s="159"/>
      <c r="E137" s="121"/>
      <c r="G137" s="121"/>
    </row>
    <row r="138" spans="1:7" x14ac:dyDescent="0.25">
      <c r="A138" s="159"/>
      <c r="E138" s="121"/>
      <c r="G138" s="121"/>
    </row>
    <row r="139" spans="1:7" x14ac:dyDescent="0.25">
      <c r="A139" s="159"/>
      <c r="E139" s="121"/>
      <c r="G139" s="121"/>
    </row>
    <row r="140" spans="1:7" x14ac:dyDescent="0.25">
      <c r="A140" s="159"/>
      <c r="E140" s="121"/>
      <c r="G140" s="121"/>
    </row>
    <row r="141" spans="1:7" x14ac:dyDescent="0.25">
      <c r="A141" s="159"/>
      <c r="E141" s="121"/>
      <c r="G141" s="121"/>
    </row>
    <row r="142" spans="1:7" x14ac:dyDescent="0.25">
      <c r="A142" s="159"/>
      <c r="E142" s="121"/>
      <c r="G142" s="121"/>
    </row>
    <row r="143" spans="1:7" x14ac:dyDescent="0.25">
      <c r="A143" s="159"/>
      <c r="E143" s="121"/>
      <c r="G143" s="121"/>
    </row>
    <row r="144" spans="1:7" x14ac:dyDescent="0.25">
      <c r="A144" s="159"/>
      <c r="E144" s="121"/>
      <c r="G144" s="121"/>
    </row>
    <row r="145" spans="1:7" x14ac:dyDescent="0.25">
      <c r="A145" s="159"/>
      <c r="E145" s="121"/>
      <c r="G145" s="121"/>
    </row>
    <row r="146" spans="1:7" x14ac:dyDescent="0.25">
      <c r="A146" s="159"/>
      <c r="E146" s="121"/>
      <c r="G146" s="121"/>
    </row>
    <row r="147" spans="1:7" x14ac:dyDescent="0.25">
      <c r="A147" s="159"/>
      <c r="E147" s="121"/>
      <c r="G147" s="121"/>
    </row>
    <row r="148" spans="1:7" x14ac:dyDescent="0.25">
      <c r="A148" s="159"/>
      <c r="E148" s="121"/>
      <c r="G148" s="121"/>
    </row>
    <row r="149" spans="1:7" x14ac:dyDescent="0.25">
      <c r="A149" s="159"/>
      <c r="E149" s="121"/>
      <c r="G149" s="121"/>
    </row>
    <row r="150" spans="1:7" x14ac:dyDescent="0.25">
      <c r="A150" s="159"/>
      <c r="E150" s="121"/>
      <c r="G150" s="121"/>
    </row>
    <row r="151" spans="1:7" x14ac:dyDescent="0.25">
      <c r="A151" s="159"/>
      <c r="E151" s="121"/>
      <c r="G151" s="121"/>
    </row>
    <row r="152" spans="1:7" x14ac:dyDescent="0.25">
      <c r="A152" s="159"/>
      <c r="E152" s="121"/>
      <c r="G152" s="121"/>
    </row>
    <row r="153" spans="1:7" x14ac:dyDescent="0.25">
      <c r="A153" s="159"/>
      <c r="E153" s="121"/>
      <c r="G153" s="121"/>
    </row>
    <row r="154" spans="1:7" x14ac:dyDescent="0.25">
      <c r="A154" s="159"/>
      <c r="E154" s="121"/>
      <c r="G154" s="121"/>
    </row>
    <row r="155" spans="1:7" x14ac:dyDescent="0.25">
      <c r="A155" s="159"/>
      <c r="E155" s="121"/>
      <c r="G155" s="121"/>
    </row>
    <row r="156" spans="1:7" x14ac:dyDescent="0.25">
      <c r="A156" s="159"/>
      <c r="E156" s="121"/>
      <c r="G156" s="121"/>
    </row>
    <row r="157" spans="1:7" x14ac:dyDescent="0.25">
      <c r="A157" s="159"/>
      <c r="E157" s="121"/>
      <c r="G157" s="121"/>
    </row>
    <row r="158" spans="1:7" x14ac:dyDescent="0.25">
      <c r="A158" s="159"/>
      <c r="E158" s="121"/>
    </row>
    <row r="159" spans="1:7" x14ac:dyDescent="0.25">
      <c r="A159" s="159"/>
      <c r="E159" s="121"/>
      <c r="G159" s="121"/>
    </row>
    <row r="160" spans="1:7" x14ac:dyDescent="0.25">
      <c r="A160" s="159"/>
      <c r="E160" s="121"/>
      <c r="G160" s="121"/>
    </row>
    <row r="161" spans="1:7" x14ac:dyDescent="0.25">
      <c r="A161" s="159"/>
      <c r="E161" s="121"/>
      <c r="G161" s="121"/>
    </row>
    <row r="162" spans="1:7" x14ac:dyDescent="0.25">
      <c r="A162" s="159"/>
      <c r="E162" s="121"/>
      <c r="G162" s="121"/>
    </row>
    <row r="163" spans="1:7" x14ac:dyDescent="0.25">
      <c r="A163" s="159"/>
      <c r="E163" s="121"/>
      <c r="G163" s="121"/>
    </row>
    <row r="164" spans="1:7" x14ac:dyDescent="0.25">
      <c r="A164" s="159"/>
      <c r="E164" s="121"/>
      <c r="G164" s="121"/>
    </row>
    <row r="165" spans="1:7" x14ac:dyDescent="0.25">
      <c r="A165" s="159"/>
      <c r="E165" s="121"/>
      <c r="G165" s="121"/>
    </row>
    <row r="166" spans="1:7" x14ac:dyDescent="0.25">
      <c r="A166" s="159"/>
      <c r="E166" s="121"/>
      <c r="G166" s="121"/>
    </row>
    <row r="167" spans="1:7" x14ac:dyDescent="0.25">
      <c r="A167" s="159"/>
      <c r="E167" s="121"/>
      <c r="G167" s="121"/>
    </row>
    <row r="168" spans="1:7" x14ac:dyDescent="0.25">
      <c r="A168" s="159"/>
      <c r="E168" s="121"/>
    </row>
    <row r="169" spans="1:7" x14ac:dyDescent="0.25">
      <c r="A169" s="159"/>
      <c r="E169" s="121"/>
      <c r="G169" s="121"/>
    </row>
    <row r="170" spans="1:7" x14ac:dyDescent="0.25">
      <c r="A170" s="159"/>
      <c r="E170" s="121"/>
      <c r="G170" s="121"/>
    </row>
    <row r="171" spans="1:7" x14ac:dyDescent="0.25">
      <c r="A171" s="159"/>
      <c r="E171" s="121"/>
      <c r="G171" s="121"/>
    </row>
    <row r="172" spans="1:7" x14ac:dyDescent="0.25">
      <c r="A172" s="159"/>
      <c r="E172" s="121"/>
      <c r="G172" s="121"/>
    </row>
    <row r="173" spans="1:7" x14ac:dyDescent="0.25">
      <c r="A173" s="159"/>
      <c r="E173" s="121"/>
      <c r="G173" s="121"/>
    </row>
    <row r="174" spans="1:7" x14ac:dyDescent="0.25">
      <c r="A174" s="159"/>
      <c r="E174" s="121"/>
      <c r="G174" s="121"/>
    </row>
    <row r="175" spans="1:7" x14ac:dyDescent="0.25">
      <c r="A175" s="159"/>
      <c r="E175" s="121"/>
      <c r="G175" s="121"/>
    </row>
    <row r="176" spans="1:7" x14ac:dyDescent="0.25">
      <c r="A176" s="159"/>
      <c r="E176" s="121"/>
      <c r="G176" s="121"/>
    </row>
    <row r="177" spans="1:7" x14ac:dyDescent="0.25">
      <c r="A177" s="159"/>
      <c r="E177" s="121"/>
      <c r="G177" s="121"/>
    </row>
    <row r="178" spans="1:7" x14ac:dyDescent="0.25">
      <c r="A178" s="159"/>
      <c r="E178" s="121"/>
      <c r="G178" s="121"/>
    </row>
    <row r="179" spans="1:7" x14ac:dyDescent="0.25">
      <c r="A179" s="159"/>
      <c r="E179" s="121"/>
      <c r="G179" s="121"/>
    </row>
    <row r="180" spans="1:7" x14ac:dyDescent="0.25">
      <c r="A180" s="159"/>
      <c r="E180" s="121"/>
      <c r="G180" s="121"/>
    </row>
    <row r="181" spans="1:7" x14ac:dyDescent="0.25">
      <c r="A181" s="159"/>
      <c r="E181" s="121"/>
      <c r="G181" s="121"/>
    </row>
    <row r="182" spans="1:7" x14ac:dyDescent="0.25">
      <c r="A182" s="159"/>
      <c r="E182" s="121"/>
      <c r="G182" s="121"/>
    </row>
    <row r="183" spans="1:7" x14ac:dyDescent="0.25">
      <c r="A183" s="159"/>
      <c r="E183" s="121"/>
      <c r="G183" s="121"/>
    </row>
    <row r="184" spans="1:7" x14ac:dyDescent="0.25">
      <c r="A184" s="159"/>
      <c r="E184" s="121"/>
      <c r="G184" s="121"/>
    </row>
    <row r="185" spans="1:7" x14ac:dyDescent="0.25">
      <c r="A185" s="159"/>
      <c r="E185" s="121"/>
      <c r="G185" s="121"/>
    </row>
    <row r="186" spans="1:7" x14ac:dyDescent="0.25">
      <c r="A186" s="159"/>
      <c r="E186" s="121"/>
      <c r="G186" s="121"/>
    </row>
    <row r="187" spans="1:7" x14ac:dyDescent="0.25">
      <c r="A187" s="159"/>
      <c r="E187" s="121"/>
      <c r="G187" s="121"/>
    </row>
    <row r="188" spans="1:7" x14ac:dyDescent="0.25">
      <c r="A188" s="159"/>
      <c r="E188" s="121"/>
      <c r="G188" s="121"/>
    </row>
    <row r="189" spans="1:7" x14ac:dyDescent="0.25">
      <c r="A189" s="159"/>
      <c r="E189" s="121"/>
      <c r="G189" s="121"/>
    </row>
    <row r="190" spans="1:7" x14ac:dyDescent="0.25">
      <c r="A190" s="159"/>
      <c r="E190" s="121"/>
      <c r="G190" s="121"/>
    </row>
    <row r="191" spans="1:7" x14ac:dyDescent="0.25">
      <c r="A191" s="159"/>
      <c r="E191" s="121"/>
      <c r="G191" s="121"/>
    </row>
    <row r="192" spans="1:7" x14ac:dyDescent="0.25">
      <c r="A192" s="159"/>
      <c r="E192" s="121"/>
      <c r="G192" s="121"/>
    </row>
    <row r="193" spans="1:7" x14ac:dyDescent="0.25">
      <c r="A193" s="159"/>
      <c r="E193" s="121"/>
      <c r="G193" s="121"/>
    </row>
    <row r="194" spans="1:7" x14ac:dyDescent="0.25">
      <c r="A194" s="159"/>
      <c r="E194" s="121"/>
      <c r="G194" s="121"/>
    </row>
    <row r="195" spans="1:7" x14ac:dyDescent="0.25">
      <c r="A195" s="159"/>
      <c r="E195" s="121"/>
      <c r="G195" s="121"/>
    </row>
    <row r="196" spans="1:7" x14ac:dyDescent="0.25">
      <c r="A196" s="159"/>
      <c r="E196" s="121"/>
      <c r="G196" s="121"/>
    </row>
    <row r="197" spans="1:7" x14ac:dyDescent="0.25">
      <c r="A197" s="159"/>
      <c r="E197" s="121"/>
      <c r="G197" s="121"/>
    </row>
    <row r="198" spans="1:7" x14ac:dyDescent="0.25">
      <c r="A198" s="159"/>
      <c r="E198" s="121"/>
      <c r="G198" s="121"/>
    </row>
    <row r="199" spans="1:7" x14ac:dyDescent="0.25">
      <c r="A199" s="159"/>
      <c r="E199" s="121"/>
      <c r="G199" s="121"/>
    </row>
    <row r="200" spans="1:7" x14ac:dyDescent="0.25">
      <c r="A200" s="159"/>
      <c r="E200" s="121"/>
      <c r="G200" s="121"/>
    </row>
    <row r="201" spans="1:7" x14ac:dyDescent="0.25">
      <c r="A201" s="159"/>
      <c r="E201" s="121"/>
      <c r="G201" s="121"/>
    </row>
    <row r="202" spans="1:7" x14ac:dyDescent="0.25">
      <c r="A202" s="159"/>
      <c r="E202" s="121"/>
      <c r="G202" s="121"/>
    </row>
    <row r="203" spans="1:7" x14ac:dyDescent="0.25">
      <c r="A203" s="159"/>
      <c r="E203" s="121"/>
      <c r="G203" s="121"/>
    </row>
    <row r="204" spans="1:7" x14ac:dyDescent="0.25">
      <c r="A204" s="159"/>
      <c r="E204" s="121"/>
      <c r="G204" s="121"/>
    </row>
    <row r="205" spans="1:7" x14ac:dyDescent="0.25">
      <c r="A205" s="159"/>
      <c r="E205" s="121"/>
      <c r="G205" s="121"/>
    </row>
    <row r="206" spans="1:7" x14ac:dyDescent="0.25">
      <c r="A206" s="159"/>
      <c r="E206" s="121"/>
      <c r="G206" s="121"/>
    </row>
    <row r="207" spans="1:7" x14ac:dyDescent="0.25">
      <c r="A207" s="159"/>
      <c r="E207" s="121"/>
      <c r="G207" s="121"/>
    </row>
    <row r="208" spans="1:7" x14ac:dyDescent="0.25">
      <c r="A208" s="159"/>
      <c r="E208" s="121"/>
      <c r="G208" s="121"/>
    </row>
    <row r="209" spans="1:7" x14ac:dyDescent="0.25">
      <c r="A209" s="159"/>
      <c r="E209" s="121"/>
      <c r="G209" s="121"/>
    </row>
    <row r="210" spans="1:7" x14ac:dyDescent="0.25">
      <c r="A210" s="159"/>
      <c r="E210" s="121"/>
      <c r="G210" s="121"/>
    </row>
    <row r="211" spans="1:7" x14ac:dyDescent="0.25">
      <c r="A211" s="159"/>
      <c r="E211" s="121"/>
      <c r="G211" s="121"/>
    </row>
    <row r="212" spans="1:7" x14ac:dyDescent="0.25">
      <c r="A212" s="159"/>
      <c r="E212" s="121"/>
      <c r="G212" s="121"/>
    </row>
    <row r="213" spans="1:7" x14ac:dyDescent="0.25">
      <c r="A213" s="159"/>
      <c r="E213" s="121"/>
      <c r="G213" s="121"/>
    </row>
    <row r="214" spans="1:7" x14ac:dyDescent="0.25">
      <c r="A214" s="159"/>
      <c r="E214" s="121"/>
      <c r="G214" s="121"/>
    </row>
    <row r="215" spans="1:7" x14ac:dyDescent="0.25">
      <c r="A215" s="159"/>
      <c r="E215" s="121"/>
    </row>
    <row r="216" spans="1:7" x14ac:dyDescent="0.25">
      <c r="A216" s="159"/>
      <c r="E216" s="121"/>
    </row>
    <row r="217" spans="1:7" x14ac:dyDescent="0.25">
      <c r="A217" s="159"/>
      <c r="E217" s="121"/>
    </row>
    <row r="218" spans="1:7" x14ac:dyDescent="0.25">
      <c r="A218" s="159"/>
      <c r="E218" s="121"/>
    </row>
    <row r="219" spans="1:7" x14ac:dyDescent="0.25">
      <c r="A219" s="159"/>
      <c r="E219" s="153"/>
    </row>
    <row r="220" spans="1:7" x14ac:dyDescent="0.25">
      <c r="A220" s="159"/>
      <c r="E220" s="153"/>
    </row>
    <row r="221" spans="1:7" x14ac:dyDescent="0.25">
      <c r="A221" s="159"/>
      <c r="E221" s="153"/>
    </row>
    <row r="222" spans="1:7" x14ac:dyDescent="0.25">
      <c r="A222" s="159"/>
      <c r="E222" s="153"/>
    </row>
    <row r="223" spans="1:7" x14ac:dyDescent="0.25">
      <c r="A223" s="159"/>
      <c r="E223" s="153"/>
    </row>
    <row r="224" spans="1:7" x14ac:dyDescent="0.25">
      <c r="A224" s="159"/>
      <c r="E224" s="153"/>
    </row>
    <row r="225" spans="1:5" x14ac:dyDescent="0.25">
      <c r="A225" s="159"/>
      <c r="E225" s="153"/>
    </row>
    <row r="226" spans="1:5" x14ac:dyDescent="0.25">
      <c r="A226" s="159"/>
      <c r="E226" s="153"/>
    </row>
    <row r="227" spans="1:5" x14ac:dyDescent="0.25">
      <c r="A227" s="159"/>
      <c r="E227" s="153"/>
    </row>
    <row r="228" spans="1:5" x14ac:dyDescent="0.25">
      <c r="A228" s="159"/>
      <c r="E228" s="153"/>
    </row>
    <row r="229" spans="1:5" x14ac:dyDescent="0.25">
      <c r="A229" s="159"/>
      <c r="E229" s="153"/>
    </row>
    <row r="230" spans="1:5" x14ac:dyDescent="0.25">
      <c r="A230" s="159"/>
      <c r="E230" s="153"/>
    </row>
    <row r="231" spans="1:5" x14ac:dyDescent="0.25">
      <c r="A231" s="159"/>
      <c r="E231" s="153"/>
    </row>
    <row r="232" spans="1:5" x14ac:dyDescent="0.25">
      <c r="A232" s="159"/>
      <c r="E232" s="153"/>
    </row>
    <row r="233" spans="1:5" x14ac:dyDescent="0.25">
      <c r="A233" s="159"/>
      <c r="E233" s="153"/>
    </row>
    <row r="234" spans="1:5" x14ac:dyDescent="0.25">
      <c r="A234" s="159"/>
      <c r="E234" s="153"/>
    </row>
    <row r="235" spans="1:5" x14ac:dyDescent="0.25">
      <c r="A235" s="159"/>
      <c r="E235" s="153"/>
    </row>
    <row r="236" spans="1:5" x14ac:dyDescent="0.25">
      <c r="A236" s="159"/>
      <c r="E236" s="153"/>
    </row>
    <row r="237" spans="1:5" x14ac:dyDescent="0.25">
      <c r="A237" s="159"/>
      <c r="E237" s="153"/>
    </row>
    <row r="238" spans="1:5" x14ac:dyDescent="0.25">
      <c r="A238" s="159"/>
      <c r="E238" s="153"/>
    </row>
    <row r="239" spans="1:5" x14ac:dyDescent="0.25">
      <c r="A239" s="159"/>
      <c r="E239" s="153"/>
    </row>
    <row r="240" spans="1:5" x14ac:dyDescent="0.25">
      <c r="A240" s="159"/>
      <c r="E240" s="153"/>
    </row>
    <row r="241" spans="1:5" x14ac:dyDescent="0.25">
      <c r="A241" s="159"/>
      <c r="E241" s="153"/>
    </row>
    <row r="242" spans="1:5" x14ac:dyDescent="0.25">
      <c r="A242" s="159"/>
      <c r="E242" s="153"/>
    </row>
    <row r="243" spans="1:5" x14ac:dyDescent="0.25">
      <c r="A243" s="159"/>
      <c r="E243" s="153"/>
    </row>
    <row r="244" spans="1:5" x14ac:dyDescent="0.25">
      <c r="A244" s="159"/>
      <c r="E244" s="153"/>
    </row>
    <row r="245" spans="1:5" x14ac:dyDescent="0.25">
      <c r="A245" s="159"/>
      <c r="E245" s="153"/>
    </row>
    <row r="246" spans="1:5" x14ac:dyDescent="0.25">
      <c r="A246" s="159"/>
      <c r="E246" s="153"/>
    </row>
    <row r="247" spans="1:5" x14ac:dyDescent="0.25">
      <c r="A247" s="159"/>
      <c r="E247" s="153"/>
    </row>
    <row r="248" spans="1:5" x14ac:dyDescent="0.25">
      <c r="A248" s="159"/>
      <c r="E248" s="153"/>
    </row>
    <row r="249" spans="1:5" x14ac:dyDescent="0.25">
      <c r="A249" s="159"/>
      <c r="E249" s="153"/>
    </row>
    <row r="250" spans="1:5" x14ac:dyDescent="0.25">
      <c r="A250" s="159"/>
      <c r="E250" s="153"/>
    </row>
    <row r="251" spans="1:5" x14ac:dyDescent="0.25">
      <c r="A251" s="159"/>
      <c r="E251" s="153"/>
    </row>
    <row r="252" spans="1:5" x14ac:dyDescent="0.25">
      <c r="A252" s="159"/>
      <c r="E252" s="153"/>
    </row>
    <row r="253" spans="1:5" x14ac:dyDescent="0.25">
      <c r="A253" s="15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29"/>
  <sheetViews>
    <sheetView topLeftCell="A10" zoomScale="110" zoomScaleNormal="110" workbookViewId="0"/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4" x14ac:dyDescent="0.3">
      <c r="A1" s="135" t="s">
        <v>220</v>
      </c>
      <c r="B1" s="135" t="s">
        <v>155</v>
      </c>
      <c r="C1" s="135" t="s">
        <v>155</v>
      </c>
      <c r="D1" s="135" t="s">
        <v>235</v>
      </c>
      <c r="E1" s="135" t="s">
        <v>235</v>
      </c>
      <c r="F1" s="137"/>
      <c r="H1" s="13"/>
    </row>
    <row r="2" spans="1:8" ht="14" x14ac:dyDescent="0.3">
      <c r="A2" s="137"/>
      <c r="B2" s="135" t="s">
        <v>234</v>
      </c>
      <c r="C2" s="135" t="s">
        <v>234</v>
      </c>
      <c r="D2" s="135" t="s">
        <v>236</v>
      </c>
      <c r="E2" s="135" t="s">
        <v>236</v>
      </c>
      <c r="F2" s="150"/>
      <c r="H2" s="13"/>
    </row>
    <row r="3" spans="1:8" ht="14" x14ac:dyDescent="0.3">
      <c r="B3" s="36" t="s">
        <v>149</v>
      </c>
      <c r="C3" s="36" t="s">
        <v>154</v>
      </c>
      <c r="D3" s="36" t="s">
        <v>149</v>
      </c>
      <c r="E3" s="36" t="s">
        <v>154</v>
      </c>
      <c r="F3" s="127"/>
      <c r="H3" s="13"/>
    </row>
    <row r="4" spans="1:8" ht="14" x14ac:dyDescent="0.3">
      <c r="A4" s="36" t="s">
        <v>223</v>
      </c>
      <c r="B4" s="127">
        <v>3.3119870000000002</v>
      </c>
      <c r="C4" s="127">
        <v>3.93438</v>
      </c>
      <c r="D4" s="127">
        <v>2.3200874229999999</v>
      </c>
      <c r="E4" s="127">
        <v>2.9754763710000001</v>
      </c>
      <c r="F4" s="127"/>
    </row>
    <row r="5" spans="1:8" ht="14" x14ac:dyDescent="0.3">
      <c r="A5" s="36" t="s">
        <v>224</v>
      </c>
      <c r="B5" s="127">
        <v>6.4825100000000004</v>
      </c>
      <c r="C5" s="127">
        <v>6.8685200000000002</v>
      </c>
      <c r="D5" s="127">
        <v>4.346788943</v>
      </c>
      <c r="E5" s="127">
        <v>5.3834169410000001</v>
      </c>
      <c r="F5" s="127"/>
    </row>
    <row r="6" spans="1:8" ht="14" x14ac:dyDescent="0.3">
      <c r="A6" s="36" t="s">
        <v>225</v>
      </c>
      <c r="B6" s="127">
        <v>8.9372520000000009</v>
      </c>
      <c r="C6" s="127">
        <v>9.6135300000000008</v>
      </c>
      <c r="D6" s="127">
        <v>6.1847510829999992</v>
      </c>
      <c r="E6" s="127">
        <v>7.4577369859999996</v>
      </c>
      <c r="F6" s="127"/>
    </row>
    <row r="7" spans="1:8" ht="14" x14ac:dyDescent="0.3">
      <c r="A7" s="36" t="s">
        <v>226</v>
      </c>
      <c r="B7" s="127">
        <v>11.435280000000001</v>
      </c>
      <c r="C7" s="127">
        <v>11.929470000000002</v>
      </c>
      <c r="D7" s="127">
        <v>8.2376695379999987</v>
      </c>
      <c r="E7" s="127">
        <v>9.2423979710000008</v>
      </c>
      <c r="F7" s="127"/>
    </row>
    <row r="8" spans="1:8" ht="14" x14ac:dyDescent="0.3">
      <c r="A8" s="36" t="s">
        <v>227</v>
      </c>
      <c r="B8" s="127">
        <v>13.784928000000001</v>
      </c>
      <c r="C8" s="127">
        <v>14.559640000000002</v>
      </c>
      <c r="D8" s="127">
        <v>10.001517337999998</v>
      </c>
      <c r="E8" s="127">
        <v>10.878783235999999</v>
      </c>
      <c r="F8" s="127"/>
    </row>
    <row r="9" spans="1:8" ht="14" x14ac:dyDescent="0.3">
      <c r="A9" s="36" t="s">
        <v>228</v>
      </c>
      <c r="B9" s="127">
        <v>16.697975999999997</v>
      </c>
      <c r="C9" s="127"/>
      <c r="D9" s="127">
        <v>12.323969972999997</v>
      </c>
      <c r="E9" s="127"/>
      <c r="F9" s="127"/>
    </row>
    <row r="10" spans="1:8" ht="14" x14ac:dyDescent="0.3">
      <c r="A10" s="36" t="s">
        <v>229</v>
      </c>
      <c r="B10" s="127">
        <v>20.523505999999998</v>
      </c>
      <c r="C10" s="127"/>
      <c r="D10" s="127">
        <v>14.918411922999997</v>
      </c>
      <c r="E10" s="127"/>
      <c r="F10" s="127"/>
    </row>
    <row r="11" spans="1:8" ht="14" x14ac:dyDescent="0.3">
      <c r="A11" s="36" t="s">
        <v>58</v>
      </c>
      <c r="B11" s="127">
        <v>24.501411999999995</v>
      </c>
      <c r="C11" s="127"/>
      <c r="D11" s="127">
        <v>17.944435307999996</v>
      </c>
      <c r="E11" s="127"/>
      <c r="F11" s="127"/>
    </row>
    <row r="12" spans="1:8" ht="14" x14ac:dyDescent="0.3">
      <c r="A12" s="36" t="s">
        <v>230</v>
      </c>
      <c r="B12" s="127">
        <v>28.803260999999999</v>
      </c>
      <c r="C12" s="127"/>
      <c r="D12" s="127">
        <v>20.786951594999994</v>
      </c>
      <c r="E12" s="127"/>
      <c r="F12" s="127"/>
    </row>
    <row r="13" spans="1:8" ht="14" x14ac:dyDescent="0.3">
      <c r="A13" s="36" t="s">
        <v>231</v>
      </c>
      <c r="B13" s="127">
        <v>33.259917999999999</v>
      </c>
      <c r="C13" s="127"/>
      <c r="D13" s="127">
        <v>23.806411407999995</v>
      </c>
      <c r="E13" s="127"/>
      <c r="F13" s="127"/>
    </row>
    <row r="14" spans="1:8" ht="14" x14ac:dyDescent="0.3">
      <c r="A14" s="36" t="s">
        <v>232</v>
      </c>
      <c r="B14" s="127">
        <v>37.414176999999995</v>
      </c>
      <c r="C14" s="127"/>
      <c r="D14" s="127">
        <v>26.197296277999996</v>
      </c>
      <c r="E14" s="127"/>
      <c r="F14" s="127"/>
    </row>
    <row r="15" spans="1:8" ht="14" x14ac:dyDescent="0.3">
      <c r="A15" s="36" t="s">
        <v>233</v>
      </c>
      <c r="B15" s="127">
        <v>40.567461999999999</v>
      </c>
      <c r="C15" s="127"/>
      <c r="D15" s="127">
        <v>28.831985275999997</v>
      </c>
      <c r="E15" s="127"/>
      <c r="F15" s="127"/>
    </row>
    <row r="16" spans="1:8" x14ac:dyDescent="0.25">
      <c r="A16" s="18"/>
      <c r="B16" s="156"/>
      <c r="C16" s="127"/>
      <c r="D16" s="127"/>
    </row>
    <row r="17" spans="1:4" x14ac:dyDescent="0.25">
      <c r="A17" s="18"/>
      <c r="B17" s="127"/>
      <c r="C17" s="127"/>
      <c r="D17" s="127"/>
    </row>
    <row r="18" spans="1:4" ht="14" x14ac:dyDescent="0.3">
      <c r="A18" s="135"/>
      <c r="B18" s="127"/>
      <c r="C18" s="127"/>
      <c r="D18" s="127"/>
    </row>
    <row r="19" spans="1:4" ht="14" x14ac:dyDescent="0.3">
      <c r="A19" s="135"/>
      <c r="B19" s="127"/>
      <c r="C19" s="127"/>
      <c r="D19" s="127"/>
    </row>
    <row r="20" spans="1:4" ht="14" x14ac:dyDescent="0.3">
      <c r="A20" s="135"/>
      <c r="B20" s="127"/>
      <c r="C20" s="127"/>
      <c r="D20" s="127"/>
    </row>
    <row r="21" spans="1:4" ht="14" x14ac:dyDescent="0.3">
      <c r="A21" s="135"/>
      <c r="B21" s="127"/>
      <c r="C21" s="127"/>
      <c r="D21" s="127"/>
    </row>
    <row r="22" spans="1:4" ht="14" x14ac:dyDescent="0.3">
      <c r="A22" s="135"/>
      <c r="B22" s="127"/>
      <c r="C22" s="127"/>
      <c r="D22" s="127"/>
    </row>
    <row r="23" spans="1:4" ht="14" x14ac:dyDescent="0.3">
      <c r="A23" s="135"/>
      <c r="B23" s="127"/>
      <c r="C23" s="127"/>
      <c r="D23" s="127"/>
    </row>
    <row r="24" spans="1:4" ht="14" x14ac:dyDescent="0.3">
      <c r="A24" s="135"/>
      <c r="B24" s="127"/>
      <c r="C24" s="127"/>
      <c r="D24" s="127"/>
    </row>
    <row r="25" spans="1:4" ht="14" x14ac:dyDescent="0.3">
      <c r="A25" s="135"/>
      <c r="B25" s="127"/>
      <c r="C25" s="127"/>
      <c r="D25" s="127"/>
    </row>
    <row r="26" spans="1:4" ht="14" x14ac:dyDescent="0.3">
      <c r="A26" s="135"/>
      <c r="B26" s="127"/>
      <c r="C26" s="127"/>
      <c r="D26" s="127"/>
    </row>
    <row r="27" spans="1:4" ht="14" x14ac:dyDescent="0.3">
      <c r="A27" s="135"/>
      <c r="B27" s="127"/>
      <c r="C27" s="127"/>
      <c r="D27" s="127"/>
    </row>
    <row r="28" spans="1:4" ht="14" x14ac:dyDescent="0.3">
      <c r="A28" s="135"/>
      <c r="B28" s="126"/>
      <c r="C28" s="127"/>
      <c r="D28" s="127"/>
    </row>
    <row r="29" spans="1:4" ht="14" x14ac:dyDescent="0.3">
      <c r="A29" s="135"/>
      <c r="B29" s="126"/>
      <c r="C29" s="126"/>
      <c r="D29" s="126"/>
    </row>
    <row r="30" spans="1:4" ht="14" x14ac:dyDescent="0.3">
      <c r="A30" s="135"/>
      <c r="B30" s="126"/>
      <c r="C30" s="126"/>
      <c r="D30" s="126"/>
    </row>
    <row r="31" spans="1:4" ht="14" x14ac:dyDescent="0.3">
      <c r="A31" s="135"/>
      <c r="B31" s="126"/>
      <c r="C31" s="126"/>
      <c r="D31" s="126"/>
    </row>
    <row r="32" spans="1:4" ht="14" x14ac:dyDescent="0.3">
      <c r="A32" s="135"/>
      <c r="B32" s="126"/>
      <c r="C32" s="126"/>
      <c r="D32" s="126"/>
    </row>
    <row r="33" spans="1:4" ht="14" x14ac:dyDescent="0.3">
      <c r="A33" s="135"/>
      <c r="B33" s="126"/>
      <c r="C33" s="126"/>
      <c r="D33" s="126"/>
    </row>
    <row r="34" spans="1:4" ht="14" x14ac:dyDescent="0.3">
      <c r="A34" s="135"/>
      <c r="B34" s="126"/>
      <c r="C34" s="126"/>
      <c r="D34" s="126"/>
    </row>
    <row r="35" spans="1:4" ht="14" x14ac:dyDescent="0.3">
      <c r="A35" s="135"/>
      <c r="B35" s="126"/>
      <c r="C35" s="126"/>
      <c r="D35" s="126"/>
    </row>
    <row r="36" spans="1:4" ht="14" x14ac:dyDescent="0.3">
      <c r="A36" s="135"/>
      <c r="B36" s="126"/>
      <c r="C36" s="126"/>
      <c r="D36" s="126"/>
    </row>
    <row r="37" spans="1:4" ht="14" x14ac:dyDescent="0.3">
      <c r="A37" s="135"/>
      <c r="B37" s="126"/>
      <c r="C37" s="126"/>
      <c r="D37" s="126"/>
    </row>
    <row r="38" spans="1:4" ht="14" x14ac:dyDescent="0.3">
      <c r="A38" s="135"/>
      <c r="B38" s="126"/>
      <c r="C38" s="126"/>
      <c r="D38" s="126"/>
    </row>
    <row r="39" spans="1:4" ht="14" x14ac:dyDescent="0.3">
      <c r="A39" s="135"/>
      <c r="B39" s="126"/>
      <c r="C39" s="126"/>
      <c r="D39" s="126"/>
    </row>
    <row r="40" spans="1:4" ht="14" x14ac:dyDescent="0.3">
      <c r="A40" s="135"/>
      <c r="B40" s="126"/>
      <c r="C40" s="126"/>
      <c r="D40" s="126"/>
    </row>
    <row r="41" spans="1:4" ht="14" x14ac:dyDescent="0.3">
      <c r="A41" s="135"/>
      <c r="B41" s="126"/>
      <c r="C41" s="126"/>
      <c r="D41" s="126"/>
    </row>
    <row r="42" spans="1:4" ht="14" x14ac:dyDescent="0.3">
      <c r="A42" s="135"/>
      <c r="B42" s="126"/>
      <c r="C42" s="126"/>
      <c r="D42" s="126"/>
    </row>
    <row r="43" spans="1:4" ht="14" x14ac:dyDescent="0.3">
      <c r="A43" s="135"/>
      <c r="B43" s="126"/>
      <c r="C43" s="126"/>
      <c r="D43" s="126"/>
    </row>
    <row r="44" spans="1:4" ht="14" x14ac:dyDescent="0.3">
      <c r="A44" s="135"/>
      <c r="B44" s="126"/>
      <c r="C44" s="126"/>
      <c r="D44" s="126"/>
    </row>
    <row r="45" spans="1:4" ht="14" x14ac:dyDescent="0.3">
      <c r="A45" s="135"/>
      <c r="B45" s="126"/>
      <c r="C45" s="126"/>
      <c r="D45" s="126"/>
    </row>
    <row r="46" spans="1:4" ht="14" x14ac:dyDescent="0.3">
      <c r="A46" s="135"/>
      <c r="B46" s="126"/>
      <c r="C46" s="126"/>
      <c r="D46" s="126"/>
    </row>
    <row r="47" spans="1:4" ht="14" x14ac:dyDescent="0.3">
      <c r="A47" s="135"/>
      <c r="B47" s="126"/>
      <c r="C47" s="126"/>
      <c r="D47" s="126"/>
    </row>
    <row r="48" spans="1:4" ht="14" x14ac:dyDescent="0.3">
      <c r="A48" s="135"/>
      <c r="B48" s="126"/>
      <c r="C48" s="126"/>
      <c r="D48" s="126"/>
    </row>
    <row r="49" spans="1:4" ht="14" x14ac:dyDescent="0.3">
      <c r="A49" s="135"/>
      <c r="B49" s="126"/>
      <c r="C49" s="126"/>
      <c r="D49" s="126"/>
    </row>
    <row r="50" spans="1:4" ht="14" x14ac:dyDescent="0.3">
      <c r="A50" s="135"/>
      <c r="B50" s="126"/>
      <c r="C50" s="126"/>
      <c r="D50" s="126"/>
    </row>
    <row r="51" spans="1:4" ht="14" x14ac:dyDescent="0.3">
      <c r="A51" s="135"/>
      <c r="B51" s="126"/>
      <c r="C51" s="126"/>
      <c r="D51" s="126"/>
    </row>
    <row r="52" spans="1:4" ht="14" x14ac:dyDescent="0.3">
      <c r="A52" s="135"/>
      <c r="B52" s="126"/>
      <c r="C52" s="126"/>
      <c r="D52" s="126"/>
    </row>
    <row r="53" spans="1:4" ht="14" x14ac:dyDescent="0.3">
      <c r="A53" s="135"/>
      <c r="B53" s="126"/>
      <c r="C53" s="126"/>
      <c r="D53" s="126"/>
    </row>
    <row r="54" spans="1:4" ht="14" x14ac:dyDescent="0.3">
      <c r="A54" s="135"/>
      <c r="B54" s="126"/>
      <c r="C54" s="126"/>
      <c r="D54" s="126"/>
    </row>
    <row r="55" spans="1:4" ht="14" x14ac:dyDescent="0.3">
      <c r="A55" s="135"/>
      <c r="B55" s="126"/>
      <c r="C55" s="126"/>
      <c r="D55" s="126"/>
    </row>
    <row r="56" spans="1:4" ht="14" x14ac:dyDescent="0.3">
      <c r="A56" s="135"/>
      <c r="B56" s="126"/>
      <c r="C56" s="126"/>
      <c r="D56" s="126"/>
    </row>
    <row r="57" spans="1:4" ht="14" x14ac:dyDescent="0.3">
      <c r="A57" s="135"/>
      <c r="B57" s="126"/>
      <c r="C57" s="126"/>
      <c r="D57" s="126"/>
    </row>
    <row r="58" spans="1:4" ht="14" x14ac:dyDescent="0.3">
      <c r="A58" s="135"/>
      <c r="B58" s="126"/>
      <c r="C58" s="126"/>
      <c r="D58" s="126"/>
    </row>
    <row r="59" spans="1:4" ht="14" x14ac:dyDescent="0.3">
      <c r="A59" s="135"/>
      <c r="B59" s="126"/>
      <c r="C59" s="126"/>
      <c r="D59" s="126"/>
    </row>
    <row r="60" spans="1:4" ht="14" x14ac:dyDescent="0.3">
      <c r="A60" s="135"/>
      <c r="B60" s="126"/>
      <c r="C60" s="126"/>
      <c r="D60" s="126"/>
    </row>
    <row r="61" spans="1:4" ht="14" x14ac:dyDescent="0.3">
      <c r="A61" s="135"/>
      <c r="B61" s="126"/>
      <c r="C61" s="126"/>
      <c r="D61" s="126"/>
    </row>
    <row r="62" spans="1:4" ht="14" x14ac:dyDescent="0.3">
      <c r="A62" s="135"/>
      <c r="B62" s="126"/>
      <c r="C62" s="126"/>
      <c r="D62" s="126"/>
    </row>
    <row r="63" spans="1:4" ht="14" x14ac:dyDescent="0.3">
      <c r="A63" s="135"/>
      <c r="B63" s="126"/>
      <c r="C63" s="126"/>
      <c r="D63" s="126"/>
    </row>
    <row r="64" spans="1:4" ht="14" x14ac:dyDescent="0.3">
      <c r="A64" s="135"/>
      <c r="B64" s="126"/>
      <c r="C64" s="126"/>
      <c r="D64" s="126"/>
    </row>
    <row r="65" spans="1:4" ht="14" x14ac:dyDescent="0.3">
      <c r="A65" s="135"/>
      <c r="B65" s="126"/>
      <c r="C65" s="126"/>
      <c r="D65" s="126"/>
    </row>
    <row r="66" spans="1:4" ht="14" x14ac:dyDescent="0.3">
      <c r="A66" s="135"/>
      <c r="B66" s="126"/>
      <c r="C66" s="126"/>
      <c r="D66" s="126"/>
    </row>
    <row r="67" spans="1:4" ht="14" x14ac:dyDescent="0.3">
      <c r="A67" s="135"/>
      <c r="B67" s="126"/>
      <c r="C67" s="126"/>
      <c r="D67" s="126"/>
    </row>
    <row r="68" spans="1:4" ht="14" x14ac:dyDescent="0.3">
      <c r="A68" s="135"/>
      <c r="B68" s="126"/>
      <c r="C68" s="126"/>
      <c r="D68" s="126"/>
    </row>
    <row r="69" spans="1:4" ht="14" x14ac:dyDescent="0.3">
      <c r="A69" s="135"/>
      <c r="B69" s="126"/>
      <c r="C69" s="126"/>
      <c r="D69" s="126"/>
    </row>
    <row r="70" spans="1:4" ht="14" x14ac:dyDescent="0.3">
      <c r="A70" s="135"/>
      <c r="B70" s="126"/>
      <c r="C70" s="126"/>
      <c r="D70" s="126"/>
    </row>
    <row r="71" spans="1:4" ht="14" x14ac:dyDescent="0.3">
      <c r="A71" s="135"/>
      <c r="B71" s="126"/>
      <c r="C71" s="126"/>
      <c r="D71" s="126"/>
    </row>
    <row r="72" spans="1:4" ht="14" x14ac:dyDescent="0.3">
      <c r="A72" s="135"/>
      <c r="B72" s="126"/>
      <c r="C72" s="126"/>
      <c r="D72" s="126"/>
    </row>
    <row r="73" spans="1:4" ht="14" x14ac:dyDescent="0.3">
      <c r="A73" s="135"/>
      <c r="B73" s="126"/>
      <c r="C73" s="126"/>
      <c r="D73" s="126"/>
    </row>
    <row r="74" spans="1:4" ht="14" x14ac:dyDescent="0.3">
      <c r="A74" s="135"/>
      <c r="B74" s="126"/>
      <c r="C74" s="126"/>
      <c r="D74" s="126"/>
    </row>
    <row r="75" spans="1:4" ht="14" x14ac:dyDescent="0.3">
      <c r="A75" s="135"/>
      <c r="B75" s="126"/>
      <c r="C75" s="126"/>
      <c r="D75" s="126"/>
    </row>
    <row r="76" spans="1:4" ht="14" x14ac:dyDescent="0.3">
      <c r="A76" s="135"/>
      <c r="B76" s="126"/>
      <c r="C76" s="126"/>
      <c r="D76" s="126"/>
    </row>
    <row r="77" spans="1:4" ht="14" x14ac:dyDescent="0.3">
      <c r="A77" s="135"/>
      <c r="B77" s="126"/>
      <c r="C77" s="126"/>
      <c r="D77" s="126"/>
    </row>
    <row r="78" spans="1:4" ht="14" x14ac:dyDescent="0.3">
      <c r="A78" s="135"/>
      <c r="B78" s="126"/>
      <c r="C78" s="126"/>
      <c r="D78" s="126"/>
    </row>
    <row r="79" spans="1:4" ht="14" x14ac:dyDescent="0.3">
      <c r="A79" s="135"/>
      <c r="B79" s="126"/>
      <c r="C79" s="126"/>
      <c r="D79" s="126"/>
    </row>
    <row r="80" spans="1:4" ht="14" x14ac:dyDescent="0.3">
      <c r="A80" s="135"/>
      <c r="B80" s="126"/>
      <c r="C80" s="126"/>
      <c r="D80" s="126"/>
    </row>
    <row r="81" spans="1:4" ht="14" x14ac:dyDescent="0.3">
      <c r="A81" s="135"/>
      <c r="B81" s="126"/>
      <c r="C81" s="126"/>
      <c r="D81" s="126"/>
    </row>
    <row r="82" spans="1:4" ht="14" x14ac:dyDescent="0.3">
      <c r="A82" s="135"/>
      <c r="B82" s="126"/>
      <c r="C82" s="126"/>
      <c r="D82" s="126"/>
    </row>
    <row r="83" spans="1:4" ht="14" x14ac:dyDescent="0.3">
      <c r="A83" s="135"/>
      <c r="B83" s="126"/>
      <c r="C83" s="126"/>
      <c r="D83" s="126"/>
    </row>
    <row r="84" spans="1:4" ht="14" x14ac:dyDescent="0.3">
      <c r="A84" s="135"/>
      <c r="B84" s="126"/>
      <c r="C84" s="126"/>
      <c r="D84" s="126"/>
    </row>
    <row r="85" spans="1:4" ht="14" x14ac:dyDescent="0.3">
      <c r="A85" s="135"/>
      <c r="B85" s="126"/>
      <c r="C85" s="126"/>
      <c r="D85" s="126"/>
    </row>
    <row r="86" spans="1:4" ht="14" x14ac:dyDescent="0.3">
      <c r="A86" s="135"/>
      <c r="B86" s="126"/>
      <c r="C86" s="126"/>
      <c r="D86" s="126"/>
    </row>
    <row r="87" spans="1:4" ht="14" x14ac:dyDescent="0.3">
      <c r="A87" s="135"/>
      <c r="B87" s="126"/>
      <c r="C87" s="126"/>
      <c r="D87" s="126"/>
    </row>
    <row r="88" spans="1:4" ht="14" x14ac:dyDescent="0.3">
      <c r="A88" s="135"/>
      <c r="B88" s="126"/>
      <c r="C88" s="126"/>
      <c r="D88" s="126"/>
    </row>
    <row r="89" spans="1:4" ht="14" x14ac:dyDescent="0.3">
      <c r="A89" s="135"/>
      <c r="B89" s="126"/>
      <c r="C89" s="126"/>
      <c r="D89" s="126"/>
    </row>
    <row r="90" spans="1:4" ht="14" x14ac:dyDescent="0.3">
      <c r="A90" s="135"/>
      <c r="B90" s="126"/>
      <c r="C90" s="126"/>
      <c r="D90" s="126"/>
    </row>
    <row r="91" spans="1:4" ht="14" x14ac:dyDescent="0.3">
      <c r="A91" s="135"/>
      <c r="B91" s="126"/>
      <c r="C91" s="126"/>
      <c r="D91" s="126"/>
    </row>
    <row r="92" spans="1:4" ht="14" x14ac:dyDescent="0.3">
      <c r="A92" s="135"/>
      <c r="B92" s="126"/>
      <c r="C92" s="126"/>
      <c r="D92" s="126"/>
    </row>
    <row r="93" spans="1:4" ht="14" x14ac:dyDescent="0.3">
      <c r="A93" s="135"/>
      <c r="B93" s="126"/>
      <c r="C93" s="126"/>
      <c r="D93" s="126"/>
    </row>
    <row r="94" spans="1:4" ht="14" x14ac:dyDescent="0.3">
      <c r="A94" s="135"/>
      <c r="B94" s="126"/>
      <c r="C94" s="126"/>
      <c r="D94" s="126"/>
    </row>
    <row r="95" spans="1:4" ht="14" x14ac:dyDescent="0.3">
      <c r="A95" s="135"/>
      <c r="B95" s="126"/>
      <c r="C95" s="126"/>
      <c r="D95" s="126"/>
    </row>
    <row r="96" spans="1:4" ht="14" x14ac:dyDescent="0.3">
      <c r="A96" s="135"/>
      <c r="B96" s="126"/>
      <c r="C96" s="126"/>
      <c r="D96" s="126"/>
    </row>
    <row r="97" spans="1:4" ht="14" x14ac:dyDescent="0.3">
      <c r="A97" s="135"/>
      <c r="B97" s="126"/>
      <c r="C97" s="126"/>
      <c r="D97" s="126"/>
    </row>
    <row r="98" spans="1:4" ht="14" x14ac:dyDescent="0.3">
      <c r="A98" s="135"/>
      <c r="B98" s="126"/>
      <c r="C98" s="126"/>
      <c r="D98" s="126"/>
    </row>
    <row r="99" spans="1:4" ht="14" x14ac:dyDescent="0.3">
      <c r="A99" s="135"/>
      <c r="B99" s="126"/>
      <c r="C99" s="126"/>
      <c r="D99" s="126"/>
    </row>
    <row r="100" spans="1:4" ht="14" x14ac:dyDescent="0.3">
      <c r="A100" s="135"/>
      <c r="B100" s="126"/>
      <c r="C100" s="126"/>
      <c r="D100" s="126"/>
    </row>
    <row r="101" spans="1:4" ht="14" x14ac:dyDescent="0.3">
      <c r="A101" s="135"/>
      <c r="B101" s="126"/>
      <c r="C101" s="126"/>
      <c r="D101" s="126"/>
    </row>
    <row r="102" spans="1:4" ht="14" x14ac:dyDescent="0.3">
      <c r="A102" s="135"/>
      <c r="B102" s="126"/>
      <c r="C102" s="126"/>
      <c r="D102" s="126"/>
    </row>
    <row r="103" spans="1:4" ht="14" x14ac:dyDescent="0.3">
      <c r="A103" s="135"/>
      <c r="B103" s="126"/>
      <c r="C103" s="126"/>
      <c r="D103" s="126"/>
    </row>
    <row r="104" spans="1:4" ht="14" x14ac:dyDescent="0.3">
      <c r="A104" s="135"/>
      <c r="B104" s="126"/>
      <c r="C104" s="126"/>
      <c r="D104" s="126"/>
    </row>
    <row r="105" spans="1:4" ht="14" x14ac:dyDescent="0.3">
      <c r="A105" s="135"/>
      <c r="B105" s="126"/>
      <c r="C105" s="126"/>
      <c r="D105" s="126"/>
    </row>
    <row r="106" spans="1:4" ht="14" x14ac:dyDescent="0.3">
      <c r="A106" s="135"/>
      <c r="B106" s="126"/>
      <c r="C106" s="126"/>
      <c r="D106" s="126"/>
    </row>
    <row r="107" spans="1:4" ht="14" x14ac:dyDescent="0.3">
      <c r="A107" s="135"/>
      <c r="B107" s="126"/>
      <c r="C107" s="126"/>
      <c r="D107" s="126"/>
    </row>
    <row r="108" spans="1:4" ht="14" x14ac:dyDescent="0.3">
      <c r="A108" s="135"/>
      <c r="B108" s="126"/>
      <c r="C108" s="126"/>
      <c r="D108" s="126"/>
    </row>
    <row r="109" spans="1:4" ht="14" x14ac:dyDescent="0.3">
      <c r="A109" s="135"/>
      <c r="B109" s="126"/>
      <c r="C109" s="126"/>
      <c r="D109" s="126"/>
    </row>
    <row r="110" spans="1:4" x14ac:dyDescent="0.25">
      <c r="A110" s="125"/>
      <c r="B110" s="126"/>
      <c r="C110" s="126"/>
      <c r="D110" s="126"/>
    </row>
    <row r="111" spans="1:4" x14ac:dyDescent="0.25">
      <c r="A111" s="125"/>
      <c r="B111" s="126"/>
      <c r="C111" s="126"/>
      <c r="D111" s="126"/>
    </row>
    <row r="112" spans="1:4" x14ac:dyDescent="0.25">
      <c r="A112" s="125"/>
      <c r="B112" s="126"/>
      <c r="C112" s="126"/>
      <c r="D112" s="126"/>
    </row>
    <row r="113" spans="1:4" x14ac:dyDescent="0.25">
      <c r="A113" s="125"/>
      <c r="B113" s="126"/>
      <c r="C113" s="126"/>
      <c r="D113" s="126"/>
    </row>
    <row r="114" spans="1:4" x14ac:dyDescent="0.25">
      <c r="A114" s="125"/>
      <c r="B114" s="126"/>
      <c r="C114" s="126"/>
      <c r="D114" s="126"/>
    </row>
    <row r="115" spans="1:4" x14ac:dyDescent="0.25">
      <c r="A115" s="125"/>
      <c r="B115" s="126"/>
      <c r="C115" s="126"/>
      <c r="D115" s="126"/>
    </row>
    <row r="116" spans="1:4" x14ac:dyDescent="0.25">
      <c r="A116" s="125"/>
      <c r="B116" s="126"/>
      <c r="C116" s="126"/>
      <c r="D116" s="126"/>
    </row>
    <row r="117" spans="1:4" x14ac:dyDescent="0.25">
      <c r="A117" s="125"/>
      <c r="B117" s="126"/>
      <c r="C117" s="126"/>
      <c r="D117" s="126"/>
    </row>
    <row r="118" spans="1:4" x14ac:dyDescent="0.25">
      <c r="A118" s="125"/>
      <c r="B118" s="126"/>
      <c r="C118" s="126"/>
      <c r="D118" s="126"/>
    </row>
    <row r="119" spans="1:4" x14ac:dyDescent="0.25">
      <c r="A119" s="125"/>
      <c r="B119" s="126"/>
      <c r="C119" s="126"/>
      <c r="D119" s="126"/>
    </row>
    <row r="120" spans="1:4" x14ac:dyDescent="0.25">
      <c r="A120" s="125"/>
      <c r="B120" s="126"/>
      <c r="C120" s="126"/>
      <c r="D120" s="126"/>
    </row>
    <row r="121" spans="1:4" x14ac:dyDescent="0.25">
      <c r="A121" s="125"/>
      <c r="B121" s="126"/>
      <c r="C121" s="126"/>
      <c r="D121" s="126"/>
    </row>
    <row r="122" spans="1:4" x14ac:dyDescent="0.25">
      <c r="A122" s="125"/>
      <c r="B122" s="126"/>
      <c r="C122" s="126"/>
      <c r="D122" s="126"/>
    </row>
    <row r="123" spans="1:4" x14ac:dyDescent="0.25">
      <c r="A123" s="125"/>
      <c r="B123" s="126"/>
      <c r="C123" s="126"/>
      <c r="D123" s="126"/>
    </row>
    <row r="124" spans="1:4" x14ac:dyDescent="0.25">
      <c r="A124" s="125"/>
      <c r="B124" s="126"/>
      <c r="C124" s="126"/>
      <c r="D124" s="126"/>
    </row>
    <row r="125" spans="1:4" x14ac:dyDescent="0.25">
      <c r="A125" s="125"/>
      <c r="B125" s="126"/>
      <c r="C125" s="126"/>
      <c r="D125" s="126"/>
    </row>
    <row r="126" spans="1:4" x14ac:dyDescent="0.25">
      <c r="A126" s="125"/>
      <c r="B126" s="126"/>
      <c r="C126" s="126"/>
      <c r="D126" s="126"/>
    </row>
    <row r="127" spans="1:4" x14ac:dyDescent="0.25">
      <c r="A127" s="125"/>
      <c r="B127" s="126"/>
      <c r="C127" s="126"/>
      <c r="D127" s="126"/>
    </row>
    <row r="128" spans="1:4" x14ac:dyDescent="0.25">
      <c r="A128" s="125"/>
      <c r="B128" s="126"/>
      <c r="C128" s="126"/>
      <c r="D128" s="126"/>
    </row>
    <row r="129" spans="1:4" x14ac:dyDescent="0.25">
      <c r="A129" s="125"/>
      <c r="B129" s="126"/>
      <c r="C129" s="126"/>
      <c r="D129" s="126"/>
    </row>
    <row r="130" spans="1:4" x14ac:dyDescent="0.25">
      <c r="A130" s="125"/>
      <c r="B130" s="126"/>
      <c r="C130" s="126"/>
      <c r="D130" s="126"/>
    </row>
    <row r="131" spans="1:4" x14ac:dyDescent="0.25">
      <c r="A131" s="125"/>
      <c r="B131" s="126"/>
      <c r="C131" s="126"/>
      <c r="D131" s="126"/>
    </row>
    <row r="132" spans="1:4" x14ac:dyDescent="0.25">
      <c r="A132" s="125"/>
      <c r="B132" s="126"/>
      <c r="C132" s="126"/>
      <c r="D132" s="126"/>
    </row>
    <row r="133" spans="1:4" x14ac:dyDescent="0.25">
      <c r="A133" s="125"/>
      <c r="B133" s="126"/>
      <c r="C133" s="126"/>
      <c r="D133" s="126"/>
    </row>
    <row r="134" spans="1:4" x14ac:dyDescent="0.25">
      <c r="A134" s="125"/>
      <c r="B134" s="126"/>
      <c r="C134" s="126"/>
      <c r="D134" s="126"/>
    </row>
    <row r="135" spans="1:4" x14ac:dyDescent="0.25">
      <c r="A135" s="125"/>
      <c r="B135" s="126"/>
      <c r="C135" s="126"/>
      <c r="D135" s="126"/>
    </row>
    <row r="136" spans="1:4" x14ac:dyDescent="0.25">
      <c r="A136" s="125"/>
      <c r="B136" s="126"/>
      <c r="C136" s="126"/>
      <c r="D136" s="126"/>
    </row>
    <row r="137" spans="1:4" x14ac:dyDescent="0.25">
      <c r="A137" s="125"/>
      <c r="B137" s="126"/>
      <c r="C137" s="126"/>
      <c r="D137" s="126"/>
    </row>
    <row r="138" spans="1:4" x14ac:dyDescent="0.25">
      <c r="A138" s="125"/>
      <c r="B138" s="126"/>
      <c r="C138" s="126"/>
      <c r="D138" s="126"/>
    </row>
    <row r="139" spans="1:4" x14ac:dyDescent="0.25">
      <c r="A139" s="125"/>
      <c r="B139" s="126"/>
      <c r="C139" s="126"/>
      <c r="D139" s="126"/>
    </row>
    <row r="140" spans="1:4" x14ac:dyDescent="0.25">
      <c r="A140" s="125"/>
      <c r="B140" s="126"/>
      <c r="C140" s="126"/>
      <c r="D140" s="126"/>
    </row>
    <row r="141" spans="1:4" x14ac:dyDescent="0.25">
      <c r="A141" s="125"/>
      <c r="B141" s="126"/>
      <c r="C141" s="126"/>
      <c r="D141" s="126"/>
    </row>
    <row r="142" spans="1:4" x14ac:dyDescent="0.25">
      <c r="A142" s="125"/>
      <c r="B142" s="126"/>
      <c r="C142" s="126"/>
      <c r="D142" s="126"/>
    </row>
    <row r="143" spans="1:4" x14ac:dyDescent="0.25">
      <c r="A143" s="125"/>
      <c r="B143" s="126"/>
      <c r="C143" s="126"/>
      <c r="D143" s="126"/>
    </row>
    <row r="144" spans="1:4" x14ac:dyDescent="0.25">
      <c r="A144" s="125"/>
      <c r="B144" s="126"/>
      <c r="C144" s="126"/>
      <c r="D144" s="126"/>
    </row>
    <row r="145" spans="1:4" x14ac:dyDescent="0.25">
      <c r="A145" s="125"/>
      <c r="B145" s="126"/>
      <c r="C145" s="126"/>
      <c r="D145" s="126"/>
    </row>
    <row r="146" spans="1:4" x14ac:dyDescent="0.25">
      <c r="A146" s="125"/>
      <c r="B146" s="126"/>
      <c r="C146" s="126"/>
      <c r="D146" s="126"/>
    </row>
    <row r="147" spans="1:4" x14ac:dyDescent="0.25">
      <c r="A147" s="125"/>
      <c r="B147" s="126"/>
      <c r="C147" s="126"/>
      <c r="D147" s="126"/>
    </row>
    <row r="148" spans="1:4" x14ac:dyDescent="0.25">
      <c r="A148" s="125"/>
      <c r="B148" s="126"/>
      <c r="C148" s="126"/>
      <c r="D148" s="126"/>
    </row>
    <row r="149" spans="1:4" x14ac:dyDescent="0.25">
      <c r="A149" s="125"/>
      <c r="B149" s="126"/>
      <c r="C149" s="126"/>
      <c r="D149" s="126"/>
    </row>
    <row r="150" spans="1:4" x14ac:dyDescent="0.25">
      <c r="A150" s="125"/>
      <c r="B150" s="126"/>
      <c r="C150" s="126"/>
      <c r="D150" s="126"/>
    </row>
    <row r="151" spans="1:4" x14ac:dyDescent="0.25">
      <c r="A151" s="125"/>
      <c r="B151" s="126"/>
      <c r="C151" s="126"/>
      <c r="D151" s="126"/>
    </row>
    <row r="152" spans="1:4" x14ac:dyDescent="0.25">
      <c r="A152" s="125"/>
      <c r="B152" s="126"/>
      <c r="C152" s="126"/>
      <c r="D152" s="126"/>
    </row>
    <row r="153" spans="1:4" x14ac:dyDescent="0.25">
      <c r="A153" s="125"/>
      <c r="B153" s="126"/>
      <c r="C153" s="126"/>
      <c r="D153" s="126"/>
    </row>
    <row r="154" spans="1:4" x14ac:dyDescent="0.25">
      <c r="A154" s="125"/>
      <c r="B154" s="126"/>
      <c r="C154" s="126"/>
      <c r="D154" s="126"/>
    </row>
    <row r="155" spans="1:4" x14ac:dyDescent="0.25">
      <c r="A155" s="125"/>
      <c r="B155" s="126"/>
      <c r="C155" s="126"/>
      <c r="D155" s="126"/>
    </row>
    <row r="156" spans="1:4" x14ac:dyDescent="0.25">
      <c r="A156" s="125"/>
      <c r="B156" s="126"/>
      <c r="C156" s="126"/>
      <c r="D156" s="126"/>
    </row>
    <row r="157" spans="1:4" x14ac:dyDescent="0.25">
      <c r="A157" s="125"/>
      <c r="B157" s="126"/>
      <c r="C157" s="126"/>
      <c r="D157" s="126"/>
    </row>
    <row r="158" spans="1:4" x14ac:dyDescent="0.25">
      <c r="A158" s="125"/>
      <c r="B158" s="126"/>
      <c r="C158" s="126"/>
      <c r="D158" s="126"/>
    </row>
    <row r="159" spans="1:4" x14ac:dyDescent="0.25">
      <c r="A159" s="125"/>
      <c r="B159" s="126"/>
      <c r="C159" s="126"/>
      <c r="D159" s="126"/>
    </row>
    <row r="160" spans="1:4" x14ac:dyDescent="0.25">
      <c r="A160" s="125"/>
      <c r="B160" s="126"/>
      <c r="C160" s="126"/>
      <c r="D160" s="126"/>
    </row>
    <row r="161" spans="1:4" x14ac:dyDescent="0.25">
      <c r="A161" s="125"/>
      <c r="B161" s="126"/>
      <c r="C161" s="126"/>
      <c r="D161" s="126"/>
    </row>
    <row r="162" spans="1:4" x14ac:dyDescent="0.25">
      <c r="A162" s="125"/>
      <c r="B162" s="126"/>
      <c r="C162" s="126"/>
      <c r="D162" s="126"/>
    </row>
    <row r="163" spans="1:4" x14ac:dyDescent="0.25">
      <c r="A163" s="125"/>
      <c r="B163" s="126"/>
      <c r="C163" s="126"/>
      <c r="D163" s="126"/>
    </row>
    <row r="164" spans="1:4" x14ac:dyDescent="0.25">
      <c r="A164" s="125"/>
      <c r="B164" s="126"/>
      <c r="C164" s="126"/>
      <c r="D164" s="126"/>
    </row>
    <row r="165" spans="1:4" x14ac:dyDescent="0.25">
      <c r="A165" s="125"/>
      <c r="B165" s="126"/>
      <c r="C165" s="126"/>
      <c r="D165" s="126"/>
    </row>
    <row r="166" spans="1:4" x14ac:dyDescent="0.25">
      <c r="A166" s="125"/>
      <c r="B166" s="126"/>
      <c r="C166" s="126"/>
      <c r="D166" s="126"/>
    </row>
    <row r="167" spans="1:4" x14ac:dyDescent="0.25">
      <c r="A167" s="125"/>
      <c r="B167" s="126"/>
      <c r="C167" s="126"/>
      <c r="D167" s="126"/>
    </row>
    <row r="168" spans="1:4" x14ac:dyDescent="0.25">
      <c r="A168" s="125"/>
      <c r="B168" s="126"/>
      <c r="C168" s="126"/>
      <c r="D168" s="126"/>
    </row>
    <row r="169" spans="1:4" x14ac:dyDescent="0.25">
      <c r="A169" s="125"/>
      <c r="B169" s="126"/>
      <c r="C169" s="126"/>
      <c r="D169" s="126"/>
    </row>
    <row r="170" spans="1:4" x14ac:dyDescent="0.25">
      <c r="A170" s="125"/>
      <c r="B170" s="126"/>
      <c r="C170" s="126"/>
      <c r="D170" s="126"/>
    </row>
    <row r="171" spans="1:4" x14ac:dyDescent="0.25">
      <c r="A171" s="125"/>
      <c r="B171" s="126"/>
      <c r="C171" s="126"/>
      <c r="D171" s="126"/>
    </row>
    <row r="172" spans="1:4" x14ac:dyDescent="0.25">
      <c r="A172" s="125"/>
      <c r="B172" s="126"/>
      <c r="C172" s="126"/>
      <c r="D172" s="126"/>
    </row>
    <row r="173" spans="1:4" x14ac:dyDescent="0.25">
      <c r="A173" s="125"/>
      <c r="B173" s="126"/>
      <c r="C173" s="126"/>
      <c r="D173" s="126"/>
    </row>
    <row r="174" spans="1:4" x14ac:dyDescent="0.25">
      <c r="A174" s="125"/>
      <c r="B174" s="126"/>
      <c r="C174" s="126"/>
      <c r="D174" s="126"/>
    </row>
    <row r="175" spans="1:4" x14ac:dyDescent="0.25">
      <c r="A175" s="125"/>
      <c r="B175" s="126"/>
      <c r="C175" s="126"/>
      <c r="D175" s="126"/>
    </row>
    <row r="176" spans="1:4" x14ac:dyDescent="0.25">
      <c r="A176" s="125"/>
      <c r="B176" s="126"/>
      <c r="C176" s="126"/>
      <c r="D176" s="126"/>
    </row>
    <row r="177" spans="1:4" x14ac:dyDescent="0.25">
      <c r="A177" s="125"/>
      <c r="B177" s="126"/>
      <c r="C177" s="126"/>
      <c r="D177" s="126"/>
    </row>
    <row r="178" spans="1:4" x14ac:dyDescent="0.25">
      <c r="A178" s="125"/>
      <c r="B178" s="126"/>
      <c r="C178" s="126"/>
      <c r="D178" s="126"/>
    </row>
    <row r="179" spans="1:4" x14ac:dyDescent="0.25">
      <c r="A179" s="125"/>
      <c r="B179" s="126"/>
      <c r="C179" s="126"/>
      <c r="D179" s="126"/>
    </row>
    <row r="180" spans="1:4" x14ac:dyDescent="0.25">
      <c r="A180" s="125"/>
      <c r="B180" s="126"/>
      <c r="C180" s="126"/>
      <c r="D180" s="126"/>
    </row>
    <row r="181" spans="1:4" x14ac:dyDescent="0.25">
      <c r="A181" s="125"/>
      <c r="B181" s="126"/>
      <c r="C181" s="126"/>
      <c r="D181" s="126"/>
    </row>
    <row r="182" spans="1:4" x14ac:dyDescent="0.25">
      <c r="A182" s="125"/>
      <c r="B182" s="126"/>
      <c r="C182" s="126"/>
      <c r="D182" s="126"/>
    </row>
    <row r="183" spans="1:4" x14ac:dyDescent="0.25">
      <c r="A183" s="125"/>
      <c r="B183" s="126"/>
      <c r="C183" s="126"/>
      <c r="D183" s="126"/>
    </row>
    <row r="184" spans="1:4" x14ac:dyDescent="0.25">
      <c r="A184" s="125"/>
      <c r="B184" s="126"/>
      <c r="C184" s="126"/>
      <c r="D184" s="126"/>
    </row>
    <row r="185" spans="1:4" x14ac:dyDescent="0.25">
      <c r="A185" s="125"/>
      <c r="B185" s="126"/>
      <c r="C185" s="126"/>
      <c r="D185" s="126"/>
    </row>
    <row r="186" spans="1:4" x14ac:dyDescent="0.25">
      <c r="A186" s="125"/>
      <c r="B186" s="126"/>
      <c r="C186" s="126"/>
      <c r="D186" s="126"/>
    </row>
    <row r="187" spans="1:4" x14ac:dyDescent="0.25">
      <c r="A187" s="125"/>
      <c r="B187" s="126"/>
      <c r="C187" s="126"/>
      <c r="D187" s="126"/>
    </row>
    <row r="188" spans="1:4" x14ac:dyDescent="0.25">
      <c r="A188" s="125"/>
      <c r="B188" s="126"/>
      <c r="C188" s="126"/>
      <c r="D188" s="126"/>
    </row>
    <row r="189" spans="1:4" x14ac:dyDescent="0.25">
      <c r="A189" s="125"/>
      <c r="B189" s="126"/>
      <c r="C189" s="126"/>
      <c r="D189" s="126"/>
    </row>
    <row r="190" spans="1:4" x14ac:dyDescent="0.25">
      <c r="A190" s="125"/>
      <c r="B190" s="126"/>
      <c r="C190" s="126"/>
      <c r="D190" s="126"/>
    </row>
    <row r="191" spans="1:4" x14ac:dyDescent="0.25">
      <c r="A191" s="125"/>
      <c r="B191" s="126"/>
      <c r="C191" s="126"/>
      <c r="D191" s="126"/>
    </row>
    <row r="192" spans="1:4" x14ac:dyDescent="0.25">
      <c r="A192" s="125"/>
      <c r="B192" s="126"/>
      <c r="C192" s="126"/>
      <c r="D192" s="126"/>
    </row>
    <row r="193" spans="1:5" x14ac:dyDescent="0.25">
      <c r="A193" s="125"/>
      <c r="B193" s="126"/>
      <c r="C193" s="126"/>
      <c r="D193" s="126"/>
    </row>
    <row r="194" spans="1:5" x14ac:dyDescent="0.25">
      <c r="A194" s="125"/>
      <c r="B194" s="126"/>
      <c r="C194" s="126"/>
      <c r="D194" s="126"/>
    </row>
    <row r="195" spans="1:5" x14ac:dyDescent="0.25">
      <c r="A195" s="125"/>
      <c r="B195" s="126"/>
      <c r="C195" s="126"/>
      <c r="D195" s="126"/>
    </row>
    <row r="196" spans="1:5" x14ac:dyDescent="0.25">
      <c r="A196" s="125"/>
      <c r="B196" s="126"/>
      <c r="C196" s="126"/>
      <c r="D196" s="126"/>
    </row>
    <row r="197" spans="1:5" x14ac:dyDescent="0.25">
      <c r="A197" s="125"/>
      <c r="B197" s="126"/>
      <c r="C197" s="126"/>
      <c r="D197" s="126"/>
    </row>
    <row r="198" spans="1:5" x14ac:dyDescent="0.25">
      <c r="A198" s="125"/>
      <c r="B198" s="126"/>
      <c r="C198" s="126"/>
      <c r="D198" s="126"/>
    </row>
    <row r="199" spans="1:5" x14ac:dyDescent="0.25">
      <c r="A199" s="125"/>
      <c r="B199" s="126"/>
      <c r="C199" s="126"/>
      <c r="D199" s="126"/>
    </row>
    <row r="200" spans="1:5" x14ac:dyDescent="0.25">
      <c r="A200" s="125"/>
      <c r="B200" s="126"/>
      <c r="C200" s="126"/>
      <c r="D200" s="126"/>
    </row>
    <row r="201" spans="1:5" x14ac:dyDescent="0.25">
      <c r="A201" s="125"/>
      <c r="B201" s="126"/>
      <c r="C201" s="126"/>
      <c r="D201" s="126"/>
    </row>
    <row r="202" spans="1:5" x14ac:dyDescent="0.25">
      <c r="A202" s="125"/>
      <c r="B202" s="126"/>
      <c r="C202" s="126"/>
      <c r="D202" s="126"/>
    </row>
    <row r="203" spans="1:5" x14ac:dyDescent="0.25">
      <c r="A203" s="125"/>
      <c r="B203" s="126"/>
      <c r="C203" s="126"/>
      <c r="D203" s="126"/>
    </row>
    <row r="204" spans="1:5" x14ac:dyDescent="0.25">
      <c r="A204" s="125"/>
      <c r="B204" s="126"/>
      <c r="C204" s="126"/>
      <c r="D204" s="126"/>
      <c r="E204" s="126"/>
    </row>
    <row r="205" spans="1:5" x14ac:dyDescent="0.25">
      <c r="A205" s="125"/>
      <c r="B205" s="126"/>
      <c r="C205" s="126"/>
      <c r="D205" s="126"/>
      <c r="E205" s="126"/>
    </row>
    <row r="206" spans="1:5" x14ac:dyDescent="0.25">
      <c r="A206" s="125"/>
      <c r="B206" s="126"/>
      <c r="C206" s="126"/>
      <c r="D206" s="126"/>
      <c r="E206" s="126"/>
    </row>
    <row r="207" spans="1:5" x14ac:dyDescent="0.25">
      <c r="A207" s="125"/>
      <c r="B207" s="126"/>
      <c r="C207" s="126"/>
      <c r="D207" s="126"/>
      <c r="E207" s="126"/>
    </row>
    <row r="208" spans="1:5" x14ac:dyDescent="0.25">
      <c r="A208" s="125"/>
      <c r="B208" s="126"/>
      <c r="C208" s="126"/>
      <c r="D208" s="126"/>
      <c r="E208" s="126"/>
    </row>
    <row r="209" spans="1:5" x14ac:dyDescent="0.25">
      <c r="A209" s="125"/>
      <c r="B209" s="126"/>
      <c r="C209" s="126"/>
      <c r="D209" s="126"/>
      <c r="E209" s="126"/>
    </row>
    <row r="210" spans="1:5" x14ac:dyDescent="0.25">
      <c r="A210" s="125"/>
      <c r="B210" s="126"/>
      <c r="C210" s="126"/>
      <c r="D210" s="126"/>
      <c r="E210" s="126"/>
    </row>
    <row r="211" spans="1:5" x14ac:dyDescent="0.25">
      <c r="A211" s="125"/>
      <c r="B211" s="126"/>
      <c r="C211" s="126"/>
      <c r="D211" s="126"/>
      <c r="E211" s="126"/>
    </row>
    <row r="212" spans="1:5" x14ac:dyDescent="0.25">
      <c r="A212" s="125"/>
      <c r="B212" s="126"/>
      <c r="C212" s="126"/>
      <c r="D212" s="126"/>
      <c r="E212" s="126"/>
    </row>
    <row r="213" spans="1:5" x14ac:dyDescent="0.25">
      <c r="A213" s="125"/>
      <c r="B213" s="126"/>
      <c r="C213" s="126"/>
      <c r="D213" s="126"/>
      <c r="E213" s="126"/>
    </row>
    <row r="214" spans="1:5" x14ac:dyDescent="0.25">
      <c r="A214" s="125"/>
      <c r="B214" s="126"/>
      <c r="C214" s="126"/>
      <c r="D214" s="126"/>
      <c r="E214" s="126"/>
    </row>
    <row r="215" spans="1:5" x14ac:dyDescent="0.25">
      <c r="A215" s="125"/>
      <c r="B215" s="126"/>
      <c r="C215" s="126"/>
      <c r="D215" s="126"/>
      <c r="E215" s="126"/>
    </row>
    <row r="216" spans="1:5" x14ac:dyDescent="0.25">
      <c r="A216" s="125"/>
      <c r="B216" s="126"/>
      <c r="C216" s="126"/>
      <c r="D216" s="126"/>
      <c r="E216" s="126"/>
    </row>
    <row r="217" spans="1:5" x14ac:dyDescent="0.25">
      <c r="A217" s="125"/>
      <c r="B217" s="126"/>
      <c r="C217" s="126"/>
      <c r="D217" s="126"/>
      <c r="E217" s="126"/>
    </row>
    <row r="218" spans="1:5" x14ac:dyDescent="0.25">
      <c r="A218" s="125"/>
      <c r="B218" s="126"/>
      <c r="C218" s="126"/>
      <c r="D218" s="126"/>
      <c r="E218" s="126"/>
    </row>
    <row r="219" spans="1:5" x14ac:dyDescent="0.25">
      <c r="A219" s="125"/>
      <c r="B219" s="126"/>
      <c r="C219" s="126"/>
      <c r="D219" s="126"/>
      <c r="E219" s="126"/>
    </row>
    <row r="220" spans="1:5" x14ac:dyDescent="0.25">
      <c r="A220" s="125"/>
      <c r="B220" s="126"/>
      <c r="C220" s="126"/>
      <c r="D220" s="126"/>
      <c r="E220" s="126"/>
    </row>
    <row r="221" spans="1:5" x14ac:dyDescent="0.25">
      <c r="A221" s="125"/>
      <c r="B221" s="126"/>
      <c r="C221" s="126"/>
      <c r="D221" s="126"/>
      <c r="E221" s="126"/>
    </row>
    <row r="222" spans="1:5" x14ac:dyDescent="0.25">
      <c r="A222" s="125"/>
      <c r="B222" s="126"/>
      <c r="C222" s="126"/>
      <c r="D222" s="126"/>
      <c r="E222" s="126"/>
    </row>
    <row r="223" spans="1:5" x14ac:dyDescent="0.25">
      <c r="A223" s="125"/>
      <c r="B223" s="126"/>
      <c r="C223" s="126"/>
      <c r="D223" s="126"/>
      <c r="E223" s="126"/>
    </row>
    <row r="224" spans="1:5" x14ac:dyDescent="0.25">
      <c r="A224" s="125"/>
      <c r="B224" s="126"/>
      <c r="C224" s="126"/>
      <c r="D224" s="126"/>
      <c r="E224" s="126"/>
    </row>
    <row r="225" spans="1:5" x14ac:dyDescent="0.25">
      <c r="A225" s="125"/>
      <c r="B225" s="126"/>
      <c r="C225" s="126"/>
      <c r="D225" s="126"/>
      <c r="E225" s="126"/>
    </row>
    <row r="226" spans="1:5" x14ac:dyDescent="0.25">
      <c r="A226" s="125"/>
      <c r="B226" s="126"/>
      <c r="C226" s="126"/>
      <c r="D226" s="126"/>
      <c r="E226" s="126"/>
    </row>
    <row r="227" spans="1:5" x14ac:dyDescent="0.25">
      <c r="A227" s="125"/>
      <c r="B227" s="126"/>
      <c r="C227" s="126"/>
      <c r="D227" s="126"/>
      <c r="E227" s="126"/>
    </row>
    <row r="228" spans="1:5" x14ac:dyDescent="0.25">
      <c r="A228" s="125"/>
      <c r="B228" s="126"/>
      <c r="C228" s="126"/>
      <c r="D228" s="126"/>
      <c r="E228" s="126"/>
    </row>
    <row r="229" spans="1:5" x14ac:dyDescent="0.25">
      <c r="A229" s="125"/>
      <c r="B229" s="126"/>
      <c r="C229" s="126"/>
      <c r="D229" s="126"/>
      <c r="E229" s="126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1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" x14ac:dyDescent="0.3">
      <c r="A2" s="36"/>
      <c r="B2" s="145" t="s">
        <v>21</v>
      </c>
      <c r="C2" s="140"/>
      <c r="D2" s="38" t="s">
        <v>24</v>
      </c>
      <c r="E2" s="144"/>
      <c r="F2" s="140" t="s">
        <v>83</v>
      </c>
      <c r="G2" s="140"/>
      <c r="H2" s="140"/>
      <c r="I2" s="39"/>
      <c r="J2" s="144"/>
      <c r="K2" s="140"/>
      <c r="L2" s="146" t="s">
        <v>63</v>
      </c>
      <c r="M2" s="140"/>
      <c r="N2" s="36"/>
    </row>
    <row r="3" spans="1:14" ht="14" x14ac:dyDescent="0.3">
      <c r="A3" s="36" t="s">
        <v>76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65</v>
      </c>
      <c r="K3" s="40" t="s">
        <v>91</v>
      </c>
      <c r="L3" s="40"/>
      <c r="M3" s="40"/>
      <c r="N3" s="40" t="s">
        <v>6</v>
      </c>
    </row>
    <row r="4" spans="1:14" ht="14" x14ac:dyDescent="0.3">
      <c r="A4" s="41" t="s">
        <v>80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5" x14ac:dyDescent="0.35">
      <c r="A5" s="36"/>
      <c r="B5" s="138" t="s">
        <v>84</v>
      </c>
      <c r="C5" s="139"/>
      <c r="D5" s="46" t="s">
        <v>67</v>
      </c>
      <c r="G5" s="138"/>
      <c r="I5" s="138"/>
      <c r="J5" s="143" t="s">
        <v>151</v>
      </c>
      <c r="K5" s="138"/>
      <c r="L5" s="138"/>
      <c r="M5" s="138"/>
      <c r="N5" s="138"/>
    </row>
    <row r="6" spans="1:14" ht="16.5" customHeight="1" x14ac:dyDescent="0.3">
      <c r="A6" s="36" t="s">
        <v>126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3">
      <c r="A7" s="36" t="s">
        <v>148</v>
      </c>
      <c r="B7" s="47">
        <v>89.167000000000002</v>
      </c>
      <c r="C7" s="47">
        <v>87.593999999999994</v>
      </c>
      <c r="D7" s="47">
        <f t="shared" ref="D7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2091.9902666666667</v>
      </c>
      <c r="K7" s="49">
        <f t="shared" si="1"/>
        <v>131.60940512700563</v>
      </c>
      <c r="L7" s="50">
        <f>L28</f>
        <v>1747.6721947821047</v>
      </c>
      <c r="M7" s="50">
        <f t="shared" si="2"/>
        <v>3971.271866575777</v>
      </c>
      <c r="N7" s="50">
        <f>N27</f>
        <v>909.05200000000002</v>
      </c>
    </row>
    <row r="8" spans="1:14" ht="16.5" customHeight="1" x14ac:dyDescent="0.3">
      <c r="A8" s="36" t="s">
        <v>153</v>
      </c>
      <c r="B8" s="47">
        <v>76.099999999999994</v>
      </c>
      <c r="C8" s="47">
        <v>75.021000000000001</v>
      </c>
      <c r="D8" s="47">
        <f>F8/C8</f>
        <v>47.430466136148546</v>
      </c>
      <c r="E8" s="48">
        <f>N7</f>
        <v>909.05200000000002</v>
      </c>
      <c r="F8" s="49">
        <f>F34</f>
        <v>3558.2809999999999</v>
      </c>
      <c r="G8" s="50">
        <v>15</v>
      </c>
      <c r="H8" s="50">
        <f>SUM(E8:G8)</f>
        <v>4482.3329999999996</v>
      </c>
      <c r="I8" s="36"/>
      <c r="J8" s="49">
        <v>2125</v>
      </c>
      <c r="K8" s="49">
        <f t="shared" si="1"/>
        <v>102.33299999999963</v>
      </c>
      <c r="L8" s="50">
        <v>1775</v>
      </c>
      <c r="M8" s="50">
        <f t="shared" si="2"/>
        <v>4002.3329999999996</v>
      </c>
      <c r="N8" s="50">
        <v>480</v>
      </c>
    </row>
    <row r="9" spans="1:14" ht="16.5" customHeight="1" x14ac:dyDescent="0.3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3">
      <c r="A10" s="39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3">
      <c r="A11" s="36" t="s">
        <v>149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3">
      <c r="A12" s="39" t="s">
        <v>94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3">
      <c r="A13" s="39" t="s">
        <v>100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3">
      <c r="A14" s="39" t="s">
        <v>102</v>
      </c>
      <c r="B14" s="136"/>
      <c r="C14" s="136"/>
      <c r="D14" s="136"/>
      <c r="E14" s="136"/>
      <c r="F14" s="136"/>
      <c r="G14" s="57">
        <f>(1.859426+43.030142+5.079898)*2.204622/60</f>
        <v>1.8360630678641998</v>
      </c>
      <c r="H14" s="58"/>
      <c r="I14" s="136"/>
      <c r="J14" s="58">
        <f>5.343053*2000/60</f>
        <v>178.10176666666666</v>
      </c>
      <c r="K14" s="136"/>
      <c r="L14" s="57">
        <f>(169.194848+4710.15)*2.204622/60</f>
        <v>179.2851832914576</v>
      </c>
      <c r="M14" s="136"/>
      <c r="N14" s="136"/>
    </row>
    <row r="15" spans="1:14" ht="16.5" customHeight="1" x14ac:dyDescent="0.3">
      <c r="A15" s="39" t="s">
        <v>72</v>
      </c>
      <c r="B15" s="136"/>
      <c r="C15" s="136"/>
      <c r="D15" s="136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6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3">
      <c r="A16" s="36" t="s">
        <v>103</v>
      </c>
      <c r="B16" s="136"/>
      <c r="C16" s="136"/>
      <c r="D16" s="136"/>
      <c r="E16" s="54"/>
      <c r="F16" s="56"/>
      <c r="G16" s="57">
        <f>(0.250128+23.870515+6.809791)*2.204622/60</f>
        <v>1.1364985877658</v>
      </c>
      <c r="H16" s="58"/>
      <c r="I16" s="136"/>
      <c r="J16" s="58">
        <f>5.513266*2000/60</f>
        <v>183.77553333333333</v>
      </c>
      <c r="K16" s="136"/>
      <c r="L16" s="57">
        <f>(167.796097+3846.683)*2.204622/60</f>
        <v>147.50681559643891</v>
      </c>
      <c r="M16" s="136"/>
      <c r="N16" s="136"/>
    </row>
    <row r="17" spans="1:14" ht="16.5" customHeight="1" x14ac:dyDescent="0.3">
      <c r="A17" s="36" t="s">
        <v>104</v>
      </c>
      <c r="B17" s="136"/>
      <c r="C17" s="136"/>
      <c r="D17" s="136"/>
      <c r="E17" s="54"/>
      <c r="F17" s="56"/>
      <c r="G17" s="57">
        <f>(1.028736+20.235107+6.406535)*2.204622/60</f>
        <v>1.0167120681185999</v>
      </c>
      <c r="H17" s="58"/>
      <c r="I17" s="136"/>
      <c r="J17" s="58">
        <f>5.492127*2000/60</f>
        <v>183.07090000000002</v>
      </c>
      <c r="K17" s="136"/>
      <c r="L17" s="57">
        <f>(84.586634+4743.657)*2.204622/60</f>
        <v>177.40753561460582</v>
      </c>
      <c r="M17" s="136"/>
      <c r="N17" s="136"/>
    </row>
    <row r="18" spans="1:14" ht="16.5" customHeight="1" x14ac:dyDescent="0.3">
      <c r="A18" s="36" t="s">
        <v>105</v>
      </c>
      <c r="B18" s="136"/>
      <c r="C18" s="136"/>
      <c r="D18" s="136"/>
      <c r="E18" s="54"/>
      <c r="F18" s="56"/>
      <c r="G18" s="57">
        <f>(0.546152+34.232142+5.00264)*2.204622/60</f>
        <v>1.4616987046158001</v>
      </c>
      <c r="H18" s="58"/>
      <c r="I18" s="136"/>
      <c r="J18" s="58">
        <f>4.883434*2000/60</f>
        <v>162.78113333333334</v>
      </c>
      <c r="K18" s="136"/>
      <c r="L18" s="57">
        <f>(56.036225+4521.322)*2.204622/60</f>
        <v>168.18907741193249</v>
      </c>
      <c r="M18" s="136"/>
      <c r="N18" s="136"/>
    </row>
    <row r="19" spans="1:14" ht="16.5" customHeight="1" x14ac:dyDescent="0.3">
      <c r="A19" s="36" t="s">
        <v>73</v>
      </c>
      <c r="B19" s="136"/>
      <c r="C19" s="136"/>
      <c r="D19" s="136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6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3">
      <c r="A20" s="36" t="s">
        <v>106</v>
      </c>
      <c r="B20" s="136"/>
      <c r="C20" s="136"/>
      <c r="D20" s="136"/>
      <c r="E20" s="54"/>
      <c r="F20" s="56"/>
      <c r="G20" s="57">
        <v>1.4917554186527999</v>
      </c>
      <c r="H20" s="58"/>
      <c r="I20" s="136"/>
      <c r="J20" s="58">
        <f>5.383008*2000/60</f>
        <v>179.43359999999998</v>
      </c>
      <c r="K20" s="148"/>
      <c r="L20" s="57">
        <v>136.19169183827341</v>
      </c>
      <c r="M20" s="148"/>
      <c r="N20" s="136"/>
    </row>
    <row r="21" spans="1:14" ht="16.5" customHeight="1" x14ac:dyDescent="0.3">
      <c r="A21" s="36" t="s">
        <v>107</v>
      </c>
      <c r="B21" s="136"/>
      <c r="C21" s="136"/>
      <c r="D21" s="136"/>
      <c r="E21" s="54"/>
      <c r="F21" s="56"/>
      <c r="G21" s="57">
        <f>(9.421895+24.904466+8.271368)*2.204622/60</f>
        <v>1.5651981750573001</v>
      </c>
      <c r="H21" s="58"/>
      <c r="I21" s="136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6"/>
    </row>
    <row r="22" spans="1:14" ht="16.5" customHeight="1" x14ac:dyDescent="0.3">
      <c r="A22" s="36" t="s">
        <v>108</v>
      </c>
      <c r="B22" s="136"/>
      <c r="C22" s="136"/>
      <c r="D22" s="136"/>
      <c r="E22" s="54"/>
      <c r="F22" s="56"/>
      <c r="G22" s="57">
        <f>(3.384561+5.982905+8.068079)*2.204622/60</f>
        <v>0.64064643481650008</v>
      </c>
      <c r="H22" s="58"/>
      <c r="I22" s="136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6"/>
    </row>
    <row r="23" spans="1:14" ht="16.5" customHeight="1" x14ac:dyDescent="0.3">
      <c r="A23" s="36" t="s">
        <v>74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3">
      <c r="A24" s="36" t="s">
        <v>59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3">
      <c r="A25" s="36" t="s">
        <v>61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3">
      <c r="A26" s="36" t="s">
        <v>62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5.32588*2000/60</f>
        <v>177.52933333333334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3">
      <c r="A27" s="63" t="s">
        <v>75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514.63043333333326</v>
      </c>
      <c r="K27" s="62">
        <f>M27-L27-J27</f>
        <v>-71.253054472791746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3">
      <c r="A28" s="36" t="s">
        <v>3</v>
      </c>
      <c r="B28" s="136"/>
      <c r="C28" s="136"/>
      <c r="D28" s="136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6"/>
      <c r="J28" s="58">
        <f>J15+J19+J23+J27</f>
        <v>2091.9902666666667</v>
      </c>
      <c r="K28" s="59">
        <f>K15+K19+K23+K27</f>
        <v>131.60940512700608</v>
      </c>
      <c r="L28" s="57">
        <f>L15+L19+L23+L27</f>
        <v>1747.6721947821047</v>
      </c>
      <c r="M28" s="57">
        <f>M15+M19+M23+M27</f>
        <v>3971.2718665757775</v>
      </c>
      <c r="N28" s="58"/>
    </row>
    <row r="29" spans="1:14" ht="16.5" customHeight="1" x14ac:dyDescent="0.3">
      <c r="A29" s="39"/>
      <c r="B29" s="136"/>
      <c r="C29" s="136"/>
      <c r="D29" s="136"/>
      <c r="E29" s="136"/>
      <c r="F29" s="66"/>
      <c r="G29" s="57"/>
      <c r="H29" s="58"/>
      <c r="I29" s="148"/>
      <c r="J29" s="58"/>
      <c r="K29" s="58"/>
      <c r="L29" s="57"/>
      <c r="M29" s="57"/>
      <c r="N29" s="136"/>
    </row>
    <row r="30" spans="1:14" ht="16.5" customHeight="1" x14ac:dyDescent="0.3">
      <c r="A30" s="36" t="s">
        <v>154</v>
      </c>
      <c r="B30" s="136"/>
      <c r="C30" s="136"/>
      <c r="D30" s="136"/>
      <c r="E30" s="136"/>
      <c r="F30" s="136"/>
      <c r="G30" s="57"/>
      <c r="H30" s="58"/>
      <c r="I30" s="148"/>
      <c r="J30" s="58"/>
      <c r="K30" s="58"/>
      <c r="L30" s="57"/>
      <c r="M30" s="57"/>
      <c r="N30" s="136"/>
    </row>
    <row r="31" spans="1:14" ht="16.5" customHeight="1" x14ac:dyDescent="0.3">
      <c r="A31" s="39" t="s">
        <v>94</v>
      </c>
      <c r="B31" s="136"/>
      <c r="C31" s="136"/>
      <c r="D31" s="136"/>
      <c r="G31" s="57">
        <f>(0.61606+25.576332+5.722113)*2.204622/60</f>
        <v>1.1726569973684999</v>
      </c>
      <c r="I31" s="136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3">
      <c r="A32" s="39" t="s">
        <v>100</v>
      </c>
      <c r="B32" s="136"/>
      <c r="C32" s="136"/>
      <c r="D32" s="136"/>
      <c r="E32" s="54"/>
      <c r="F32" s="56"/>
      <c r="G32" s="57">
        <f>(1.044818+37.412542+15.260051)*2.204622/60</f>
        <v>1.9737764345607001</v>
      </c>
      <c r="H32" s="58"/>
      <c r="I32" s="136"/>
      <c r="J32" s="58">
        <f>5.615616*2000/60</f>
        <v>187.18719999999999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3">
      <c r="A33" s="39" t="s">
        <v>102</v>
      </c>
      <c r="B33" s="136"/>
      <c r="C33" s="136"/>
      <c r="D33" s="136"/>
      <c r="E33" s="54"/>
      <c r="F33" s="56"/>
      <c r="G33" s="57">
        <f>(1.008406+5.711141+5.30486)*2.204622/60</f>
        <v>0.44182120348590004</v>
      </c>
      <c r="H33" s="58"/>
      <c r="I33" s="136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3">
      <c r="A34" s="39" t="s">
        <v>72</v>
      </c>
      <c r="B34" s="136"/>
      <c r="C34" s="136"/>
      <c r="D34" s="136"/>
      <c r="E34" s="54">
        <f>N27</f>
        <v>909.05200000000002</v>
      </c>
      <c r="F34" s="56">
        <f>3558.281</f>
        <v>3558.2809999999999</v>
      </c>
      <c r="G34" s="57">
        <f>SUM(G31:G33)</f>
        <v>3.5882546354151001</v>
      </c>
      <c r="H34" s="58">
        <f>E34+F34+G34</f>
        <v>4470.9212546354147</v>
      </c>
      <c r="I34" s="136"/>
      <c r="J34" s="58">
        <f>SUM(J31:J33)</f>
        <v>524.17006666666668</v>
      </c>
      <c r="K34" s="59">
        <f>M34-L34-J34</f>
        <v>70.003646516568779</v>
      </c>
      <c r="L34" s="57">
        <f>SUM(L31:L33)</f>
        <v>618.75954145217941</v>
      </c>
      <c r="M34" s="57">
        <f>H34-N34</f>
        <v>1212.9332546354149</v>
      </c>
      <c r="N34" s="58">
        <v>3257.9879999999998</v>
      </c>
    </row>
    <row r="35" spans="1:73" ht="16.5" customHeight="1" x14ac:dyDescent="0.3">
      <c r="A35" s="36" t="s">
        <v>103</v>
      </c>
      <c r="B35" s="136"/>
      <c r="C35" s="136"/>
      <c r="D35" s="136"/>
      <c r="E35" s="54"/>
      <c r="F35" s="56"/>
      <c r="G35" s="57">
        <f>(2.394865+31.045277+4.372992)*2.204622/60</f>
        <v>1.3893944517558003</v>
      </c>
      <c r="H35" s="58"/>
      <c r="I35" s="136"/>
      <c r="J35" s="58">
        <f>5.542274*2000/60</f>
        <v>184.74246666666667</v>
      </c>
      <c r="K35" s="59"/>
      <c r="L35" s="57">
        <f>(18.302084+5551.986)*2.204622/60</f>
        <v>204.67299427207081</v>
      </c>
      <c r="M35" s="57"/>
      <c r="N35" s="58"/>
    </row>
    <row r="36" spans="1:73" ht="16.5" customHeight="1" x14ac:dyDescent="0.3">
      <c r="A36" s="36" t="s">
        <v>104</v>
      </c>
      <c r="B36" s="136"/>
      <c r="C36" s="136"/>
      <c r="D36" s="136"/>
      <c r="E36" s="54"/>
      <c r="F36" s="56"/>
      <c r="G36" s="57">
        <f>(8.096021+19.453759+3.525378)*2.204622/60</f>
        <v>1.1418162830046001</v>
      </c>
      <c r="H36" s="58"/>
      <c r="I36" s="136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3">
      <c r="A37" s="36" t="s">
        <v>105</v>
      </c>
      <c r="B37" s="136"/>
      <c r="C37" s="136"/>
      <c r="D37" s="136"/>
      <c r="E37" s="54"/>
      <c r="F37" s="56"/>
      <c r="G37" s="57">
        <f>(1.166549+36.489844+3.682102)*2.204622/60</f>
        <v>1.5189292587315002</v>
      </c>
      <c r="H37" s="58"/>
      <c r="I37" s="136"/>
      <c r="J37" s="58">
        <f>5.258777*2000/60</f>
        <v>175.29256666666666</v>
      </c>
      <c r="K37" s="59"/>
      <c r="L37" s="57">
        <f>(14.336042+2744.522)*2.204622/60</f>
        <v>101.3706522378354</v>
      </c>
      <c r="M37" s="136"/>
      <c r="N37" s="136"/>
    </row>
    <row r="38" spans="1:73" ht="16.5" customHeight="1" x14ac:dyDescent="0.3">
      <c r="A38" s="36" t="s">
        <v>73</v>
      </c>
      <c r="B38" s="136"/>
      <c r="C38" s="136"/>
      <c r="D38" s="136"/>
      <c r="E38" s="54">
        <f>N34</f>
        <v>3257.9879999999998</v>
      </c>
      <c r="F38" s="56"/>
      <c r="G38" s="57">
        <f>SUM(G35:G37)</f>
        <v>4.0501399934919009</v>
      </c>
      <c r="H38" s="58">
        <f>E38+F38+G38</f>
        <v>3262.0381399934918</v>
      </c>
      <c r="I38" s="136"/>
      <c r="J38" s="58">
        <f>SUM(J35:J37)</f>
        <v>548.81513333333328</v>
      </c>
      <c r="K38" s="59">
        <f>M38-L38-J38</f>
        <v>-41.54501133856968</v>
      </c>
      <c r="L38" s="57">
        <f>SUM(L35:L37)</f>
        <v>501.49101799872813</v>
      </c>
      <c r="M38" s="57">
        <f>H38-N38</f>
        <v>1008.7611399934917</v>
      </c>
      <c r="N38" s="58">
        <v>2253.277</v>
      </c>
    </row>
    <row r="39" spans="1:73" ht="16.5" customHeight="1" x14ac:dyDescent="0.3">
      <c r="A39" s="36" t="s">
        <v>150</v>
      </c>
      <c r="B39" s="136"/>
      <c r="C39" s="136"/>
      <c r="D39" s="136"/>
      <c r="E39" s="54"/>
      <c r="F39" s="56">
        <f>F34</f>
        <v>3558.2809999999999</v>
      </c>
      <c r="G39" s="57">
        <f>G34+G38</f>
        <v>7.638394628907001</v>
      </c>
      <c r="H39" s="58">
        <f>E34+F39+G39</f>
        <v>4474.9713946289066</v>
      </c>
      <c r="I39" s="136"/>
      <c r="J39" s="58">
        <f>J34+J38</f>
        <v>1072.9852000000001</v>
      </c>
      <c r="K39" s="59">
        <f>K34+K38</f>
        <v>28.458635177999099</v>
      </c>
      <c r="L39" s="57">
        <f>L34+L38</f>
        <v>1120.2505594509075</v>
      </c>
      <c r="M39" s="57">
        <f>M34+M38</f>
        <v>2221.6943946289066</v>
      </c>
      <c r="N39" s="58"/>
    </row>
    <row r="40" spans="1:73" ht="16.5" customHeight="1" x14ac:dyDescent="0.3">
      <c r="A40" s="35"/>
      <c r="B40" s="128"/>
      <c r="C40" s="128"/>
      <c r="D40" s="128"/>
      <c r="E40" s="128"/>
      <c r="F40" s="141"/>
      <c r="G40" s="64"/>
      <c r="H40" s="130"/>
      <c r="I40" s="149"/>
      <c r="J40" s="130"/>
      <c r="K40" s="130"/>
      <c r="L40" s="64"/>
      <c r="M40" s="64"/>
      <c r="N40" s="128"/>
    </row>
    <row r="41" spans="1:73" ht="16.5" customHeight="1" x14ac:dyDescent="0.3">
      <c r="A41" s="65" t="s">
        <v>164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66"/>
      <c r="M41" s="39"/>
      <c r="N41" s="39"/>
    </row>
    <row r="42" spans="1:73" ht="16.5" customHeight="1" x14ac:dyDescent="0.35">
      <c r="A42" s="36" t="s">
        <v>114</v>
      </c>
      <c r="B42" s="36"/>
      <c r="C42" s="36"/>
      <c r="D42" s="36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73" ht="16.5" customHeight="1" x14ac:dyDescent="0.35">
      <c r="A43" s="68" t="s">
        <v>70</v>
      </c>
      <c r="B43" s="36"/>
      <c r="C43" s="36"/>
      <c r="D43" s="3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6.5" customHeight="1" x14ac:dyDescent="0.3">
      <c r="A44" s="40" t="s">
        <v>20</v>
      </c>
      <c r="B44" s="69">
        <f ca="1">NOW()</f>
        <v>43934.390529629629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 K34 K27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0"/>
  <sheetViews>
    <sheetView showGridLines="0" topLeftCell="A7" zoomScaleNormal="100" workbookViewId="0">
      <selection activeCell="A11" sqref="A11:A22"/>
    </sheetView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5" t="s">
        <v>157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" x14ac:dyDescent="0.3">
      <c r="A2" s="36"/>
      <c r="B2" s="169" t="s">
        <v>0</v>
      </c>
      <c r="C2" s="169"/>
      <c r="D2" s="169"/>
      <c r="E2" s="169"/>
      <c r="F2" s="39"/>
      <c r="G2" s="169" t="s">
        <v>19</v>
      </c>
      <c r="H2" s="169"/>
      <c r="I2" s="169"/>
      <c r="J2" s="36"/>
    </row>
    <row r="3" spans="1:12" ht="14" x14ac:dyDescent="0.3">
      <c r="A3" s="36" t="s">
        <v>76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" x14ac:dyDescent="0.3">
      <c r="A4" s="41" t="s">
        <v>77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87</v>
      </c>
    </row>
    <row r="5" spans="1:12" ht="14.5" x14ac:dyDescent="0.35">
      <c r="A5" s="36"/>
      <c r="B5" s="170" t="s">
        <v>95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3">
      <c r="A6" s="36" t="s">
        <v>126</v>
      </c>
      <c r="B6" s="70">
        <v>400.63</v>
      </c>
      <c r="C6" s="71">
        <v>49225.606000000007</v>
      </c>
      <c r="D6" s="71"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3">
      <c r="A7" s="36" t="s">
        <v>148</v>
      </c>
      <c r="B7" s="70">
        <f>J6</f>
        <v>555.42399999999998</v>
      </c>
      <c r="C7" s="71">
        <f>C23</f>
        <v>48813.759999999995</v>
      </c>
      <c r="D7" s="71">
        <f>D23</f>
        <v>683.51981328180898</v>
      </c>
      <c r="E7" s="50">
        <f t="shared" si="0"/>
        <v>50052.703813281805</v>
      </c>
      <c r="F7" s="71"/>
      <c r="G7" s="71">
        <f t="shared" si="1"/>
        <v>36096.903326571366</v>
      </c>
      <c r="H7" s="71">
        <f>H23</f>
        <v>13553.785486710443</v>
      </c>
      <c r="I7" s="71">
        <f t="shared" si="2"/>
        <v>49650.688813281806</v>
      </c>
      <c r="J7" s="71">
        <f>J22</f>
        <v>402.01499999999999</v>
      </c>
    </row>
    <row r="8" spans="1:12" ht="16.5" x14ac:dyDescent="0.3">
      <c r="A8" s="36" t="s">
        <v>153</v>
      </c>
      <c r="B8" s="70">
        <f>J7</f>
        <v>402.01499999999999</v>
      </c>
      <c r="C8" s="71">
        <v>49973</v>
      </c>
      <c r="D8" s="71">
        <v>550</v>
      </c>
      <c r="E8" s="50">
        <f t="shared" si="0"/>
        <v>50925.014999999999</v>
      </c>
      <c r="F8" s="71"/>
      <c r="G8" s="71">
        <f t="shared" si="1"/>
        <v>37100.014999999999</v>
      </c>
      <c r="H8" s="71">
        <v>13450</v>
      </c>
      <c r="I8" s="71">
        <f t="shared" si="2"/>
        <v>50550.014999999999</v>
      </c>
      <c r="J8" s="71">
        <v>375</v>
      </c>
    </row>
    <row r="9" spans="1:12" ht="14" x14ac:dyDescent="0.3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5" x14ac:dyDescent="0.35">
      <c r="A10" s="39" t="s">
        <v>149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5" x14ac:dyDescent="0.35">
      <c r="A11" s="39" t="s">
        <v>51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5" x14ac:dyDescent="0.35">
      <c r="A12" s="39" t="s">
        <v>52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5" x14ac:dyDescent="0.35">
      <c r="A13" s="39" t="s">
        <v>53</v>
      </c>
      <c r="B13" s="74">
        <f t="shared" ref="B13:B17" si="3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5" x14ac:dyDescent="0.35">
      <c r="A14" s="39" t="s">
        <v>54</v>
      </c>
      <c r="B14" s="74">
        <f t="shared" si="3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5" x14ac:dyDescent="0.35">
      <c r="A15" s="39" t="s">
        <v>55</v>
      </c>
      <c r="B15" s="74">
        <f t="shared" si="3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4">E15-J15</f>
        <v>4020.5607731144373</v>
      </c>
      <c r="J15" s="75">
        <f>263.515+31.364</f>
        <v>294.87899999999996</v>
      </c>
      <c r="K15" s="20"/>
      <c r="L15" s="20"/>
    </row>
    <row r="16" spans="1:12" ht="15.5" x14ac:dyDescent="0.35">
      <c r="A16" s="39" t="s">
        <v>56</v>
      </c>
      <c r="B16" s="74">
        <f t="shared" si="3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5">SUM(B16:D16)</f>
        <v>4569.220849382963</v>
      </c>
      <c r="F16" s="73"/>
      <c r="G16" s="75">
        <f t="shared" ref="G16:G17" si="6">I16-H16</f>
        <v>2881.8443252468242</v>
      </c>
      <c r="H16" s="57">
        <f>((763.932135+5.972+298.109814))*(2.204622/2)</f>
        <v>1177.283524136139</v>
      </c>
      <c r="I16" s="73">
        <f t="shared" si="4"/>
        <v>4059.1278493829632</v>
      </c>
      <c r="J16" s="75">
        <f>465.159+44.934</f>
        <v>510.09299999999996</v>
      </c>
      <c r="K16" s="20"/>
      <c r="L16" s="20"/>
    </row>
    <row r="17" spans="1:12" ht="15.5" x14ac:dyDescent="0.35">
      <c r="A17" s="39" t="s">
        <v>57</v>
      </c>
      <c r="B17" s="74">
        <f t="shared" si="3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5"/>
        <v>4607.2436073038261</v>
      </c>
      <c r="F17" s="73"/>
      <c r="G17" s="75">
        <f t="shared" si="6"/>
        <v>2821.810765308217</v>
      </c>
      <c r="H17" s="57">
        <f>((1007.701411+13.354+249.239308))*(2.204622/2)</f>
        <v>1400.2598419956091</v>
      </c>
      <c r="I17" s="73">
        <f t="shared" si="4"/>
        <v>4222.0706073038264</v>
      </c>
      <c r="J17" s="75">
        <f>337.326+47.847</f>
        <v>385.173</v>
      </c>
      <c r="K17" s="20"/>
      <c r="L17" s="20"/>
    </row>
    <row r="18" spans="1:12" ht="15.5" x14ac:dyDescent="0.35">
      <c r="A18" s="39" t="s">
        <v>58</v>
      </c>
      <c r="B18" s="74">
        <f t="shared" ref="B18:B19" si="7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8">SUM(B18:D18)</f>
        <v>4363.5774361439662</v>
      </c>
      <c r="F18" s="73"/>
      <c r="G18" s="75">
        <f t="shared" ref="G18" si="9">I18-H18</f>
        <v>2930.8773870523009</v>
      </c>
      <c r="H18" s="57">
        <f>((819.428144+11.935+185.223871))*(2.204622/2)</f>
        <v>1120.595049091665</v>
      </c>
      <c r="I18" s="73">
        <f t="shared" si="4"/>
        <v>4051.4724361439662</v>
      </c>
      <c r="J18" s="75">
        <f>276.276+35.829</f>
        <v>312.10500000000002</v>
      </c>
      <c r="K18" s="20"/>
      <c r="L18" s="20"/>
    </row>
    <row r="19" spans="1:12" ht="15.5" x14ac:dyDescent="0.35">
      <c r="A19" s="39" t="s">
        <v>59</v>
      </c>
      <c r="B19" s="74">
        <f t="shared" si="7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0">SUM(B19:D19)</f>
        <v>4051.3231373495751</v>
      </c>
      <c r="F19" s="73"/>
      <c r="G19" s="75">
        <f t="shared" ref="G19:G20" si="11">I19-H19</f>
        <v>2720.5046007899409</v>
      </c>
      <c r="H19" s="57">
        <f>((593.573569+8.497+220.167925))*(2.204622/2)</f>
        <v>906.36253655963401</v>
      </c>
      <c r="I19" s="73">
        <f t="shared" si="4"/>
        <v>3626.8671373495749</v>
      </c>
      <c r="J19" s="75">
        <f>376.025+48.431</f>
        <v>424.45599999999996</v>
      </c>
      <c r="K19" s="20"/>
      <c r="L19" s="20"/>
    </row>
    <row r="20" spans="1:12" ht="15.5" x14ac:dyDescent="0.35">
      <c r="A20" s="39" t="s">
        <v>61</v>
      </c>
      <c r="B20" s="74">
        <f t="shared" ref="B20:B21" si="12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0"/>
        <v>4665.2750897274573</v>
      </c>
      <c r="F20" s="73"/>
      <c r="G20" s="75">
        <f t="shared" si="11"/>
        <v>3372.1360299377911</v>
      </c>
      <c r="H20" s="57">
        <f>((716.627482+22.068+84.962324))*(2.204622/2)</f>
        <v>907.92705978966592</v>
      </c>
      <c r="I20" s="73">
        <f t="shared" si="4"/>
        <v>4280.0630897274568</v>
      </c>
      <c r="J20" s="75">
        <f>345.45+39.762</f>
        <v>385.21199999999999</v>
      </c>
      <c r="K20" s="20"/>
      <c r="L20" s="20"/>
    </row>
    <row r="21" spans="1:12" ht="15.5" x14ac:dyDescent="0.35">
      <c r="A21" s="39" t="s">
        <v>62</v>
      </c>
      <c r="B21" s="74">
        <f t="shared" si="12"/>
        <v>385.21199999999999</v>
      </c>
      <c r="C21" s="57">
        <f>3880.5+270.264</f>
        <v>4150.7640000000001</v>
      </c>
      <c r="D21" s="57">
        <f>(46476.038+4437+282.552+125.417)*2.204622/2000</f>
        <v>56.571710547177005</v>
      </c>
      <c r="E21" s="57">
        <f t="shared" si="10"/>
        <v>4592.5477105471773</v>
      </c>
      <c r="F21" s="73"/>
      <c r="G21" s="75">
        <f t="shared" ref="G21" si="13">I21-H21</f>
        <v>3123.4818855152489</v>
      </c>
      <c r="H21" s="57">
        <f>((806.359325+9.154+124.197723))*(2.204622/2)</f>
        <v>1035.853825031928</v>
      </c>
      <c r="I21" s="73">
        <f t="shared" si="4"/>
        <v>4159.3357105471769</v>
      </c>
      <c r="J21" s="75">
        <f>384.874+48.338</f>
        <v>433.21200000000005</v>
      </c>
      <c r="K21" s="20"/>
      <c r="L21" s="20"/>
    </row>
    <row r="22" spans="1:12" ht="15.5" x14ac:dyDescent="0.35">
      <c r="A22" s="39" t="s">
        <v>64</v>
      </c>
      <c r="B22" s="74">
        <f t="shared" ref="B22" si="14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5">SUM(B22:D22)</f>
        <v>4272.0053174892164</v>
      </c>
      <c r="F22" s="73"/>
      <c r="G22" s="75">
        <f t="shared" ref="G22" si="16">I22-H22</f>
        <v>2898.6123008814347</v>
      </c>
      <c r="H22" s="57">
        <f>((684.757972+16.016+180.44559))*(2.204622/2)</f>
        <v>971.378016607782</v>
      </c>
      <c r="I22" s="73">
        <f t="shared" si="4"/>
        <v>3869.9903174892165</v>
      </c>
      <c r="J22" s="75">
        <f>360.387+41.628</f>
        <v>402.01499999999999</v>
      </c>
      <c r="K22" s="20"/>
      <c r="L22" s="20"/>
    </row>
    <row r="23" spans="1:12" ht="15.5" x14ac:dyDescent="0.35">
      <c r="A23" s="39" t="s">
        <v>3</v>
      </c>
      <c r="B23" s="74"/>
      <c r="C23" s="57">
        <f>SUM(C11:C22)</f>
        <v>48813.759999999995</v>
      </c>
      <c r="D23" s="57">
        <f>SUM(D11:D22)</f>
        <v>683.51981328180898</v>
      </c>
      <c r="E23" s="57">
        <f t="shared" ref="E23" si="17">SUM(E11:E19)</f>
        <v>40903.238695517961</v>
      </c>
      <c r="F23" s="57"/>
      <c r="G23" s="57">
        <f t="shared" ref="G23:I23" si="18">SUM(G11:G22)</f>
        <v>36096.903326571366</v>
      </c>
      <c r="H23" s="57">
        <f t="shared" si="18"/>
        <v>13553.785486710443</v>
      </c>
      <c r="I23" s="57">
        <f t="shared" si="18"/>
        <v>49650.68881328182</v>
      </c>
      <c r="J23" s="57"/>
      <c r="K23" s="20"/>
      <c r="L23" s="20"/>
    </row>
    <row r="24" spans="1:12" ht="15.5" x14ac:dyDescent="0.3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5" x14ac:dyDescent="0.35">
      <c r="A25" s="39" t="s">
        <v>154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5" x14ac:dyDescent="0.35">
      <c r="A26" s="39" t="s">
        <v>51</v>
      </c>
      <c r="B26" s="74">
        <f>J22</f>
        <v>402.01499999999999</v>
      </c>
      <c r="C26" s="57">
        <f>4105.453+276.379</f>
        <v>4381.8320000000003</v>
      </c>
      <c r="D26" s="57">
        <f>(34715.548+8327+125.964+103.856)*2.204622/2000</f>
        <v>47.699607242448003</v>
      </c>
      <c r="E26" s="57">
        <f t="shared" ref="E26" si="19">SUM(B26:D26)</f>
        <v>4831.5466072424488</v>
      </c>
      <c r="F26" s="73"/>
      <c r="G26" s="75">
        <f t="shared" ref="G26" si="20">I26-H26</f>
        <v>3327.3256056377386</v>
      </c>
      <c r="H26" s="57">
        <f>((778.679879+14.393+240.172731))*(2.204622/2)</f>
        <v>1138.95800160471</v>
      </c>
      <c r="I26" s="73">
        <f t="shared" ref="I26" si="21">E26-J26</f>
        <v>4466.2836072424489</v>
      </c>
      <c r="J26" s="75">
        <f>335.087+30.176</f>
        <v>365.26299999999998</v>
      </c>
      <c r="K26" s="20"/>
      <c r="L26" s="20"/>
    </row>
    <row r="27" spans="1:12" ht="15.5" x14ac:dyDescent="0.35">
      <c r="A27" s="39" t="s">
        <v>52</v>
      </c>
      <c r="B27" s="74">
        <f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>SUM(B27:D27)</f>
        <v>4513.4505725125709</v>
      </c>
      <c r="F27" s="57"/>
      <c r="G27" s="75">
        <f>I27-H27</f>
        <v>2812.5352537190147</v>
      </c>
      <c r="H27" s="75">
        <f>((860.616253+3.458+254.940543))*(2.204622/2)</f>
        <v>1233.502318793556</v>
      </c>
      <c r="I27" s="73">
        <f>E27-J27</f>
        <v>4046.0375725125709</v>
      </c>
      <c r="J27" s="57">
        <f>426.332+41.081</f>
        <v>467.41300000000001</v>
      </c>
      <c r="K27" s="20"/>
      <c r="L27" s="20"/>
    </row>
    <row r="28" spans="1:12" ht="15.5" x14ac:dyDescent="0.35">
      <c r="A28" s="39" t="s">
        <v>53</v>
      </c>
      <c r="B28" s="74">
        <f>J27</f>
        <v>467.41300000000001</v>
      </c>
      <c r="C28" s="57">
        <f>4062.929+274.643</f>
        <v>4337.5720000000001</v>
      </c>
      <c r="D28" s="57">
        <f>(33750.764+13585+182.009+72.517)*2.204622/2000</f>
        <v>52.459300160190004</v>
      </c>
      <c r="E28" s="57">
        <f>SUM(B28:D28)</f>
        <v>4857.4443001601903</v>
      </c>
      <c r="F28" s="57"/>
      <c r="G28" s="75">
        <f>I28-H28</f>
        <v>3359.8092103713479</v>
      </c>
      <c r="H28" s="75">
        <f>((787.320387+9.703+219.534635))*(2.204622/2)</f>
        <v>1120.563089788842</v>
      </c>
      <c r="I28" s="73">
        <f>E28-J28</f>
        <v>4480.3723001601902</v>
      </c>
      <c r="J28" s="57">
        <f>342.085+34.987</f>
        <v>377.072</v>
      </c>
      <c r="K28" s="20"/>
      <c r="L28" s="20"/>
    </row>
    <row r="29" spans="1:12" ht="15.5" x14ac:dyDescent="0.35">
      <c r="A29" s="39" t="s">
        <v>54</v>
      </c>
      <c r="B29" s="74">
        <f>J28</f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>SUM(B29:D29)</f>
        <v>4863.8218115775308</v>
      </c>
      <c r="F29" s="57"/>
      <c r="G29" s="75">
        <f>I29-H29</f>
        <v>3435.4339578735735</v>
      </c>
      <c r="H29" s="75">
        <f>((709.103359+18.259+255.531628))*(2.204622/2)</f>
        <v>1083.454853703957</v>
      </c>
      <c r="I29" s="73">
        <f>E29-J29</f>
        <v>4518.8888115775308</v>
      </c>
      <c r="J29" s="57">
        <f>302.321+42.612</f>
        <v>344.93300000000005</v>
      </c>
      <c r="K29" s="20"/>
      <c r="L29" s="20"/>
    </row>
    <row r="30" spans="1:12" ht="15.5" x14ac:dyDescent="0.35">
      <c r="A30" s="39" t="s">
        <v>55</v>
      </c>
      <c r="B30" s="74">
        <f>J29</f>
        <v>344.93300000000005</v>
      </c>
      <c r="C30" s="57">
        <f>3863.475+259.153</f>
        <v>4122.6279999999997</v>
      </c>
      <c r="D30" s="57">
        <f>(41456.755+3685+293.02+207.359)*2.204622/2000</f>
        <v>50.311826371673988</v>
      </c>
      <c r="E30" s="57">
        <f>SUM(B30:D30)</f>
        <v>4517.8728263716739</v>
      </c>
      <c r="F30" s="57"/>
      <c r="G30" s="75">
        <f>I30-H30</f>
        <v>2687.3697811372549</v>
      </c>
      <c r="H30" s="75">
        <f>((1026.306442+5.115+227.891987))*(2.204622/2)</f>
        <v>1388.155045234419</v>
      </c>
      <c r="I30" s="73">
        <f>E30-J30</f>
        <v>4075.524826371674</v>
      </c>
      <c r="J30" s="57">
        <f>396.511+45.837</f>
        <v>442.34800000000001</v>
      </c>
      <c r="K30" s="20"/>
      <c r="L30" s="20"/>
    </row>
    <row r="31" spans="1:12" ht="15.5" x14ac:dyDescent="0.35">
      <c r="A31" s="35" t="s">
        <v>150</v>
      </c>
      <c r="B31" s="76"/>
      <c r="C31" s="64">
        <f>SUM(C26:C30)</f>
        <v>21379.553</v>
      </c>
      <c r="D31" s="64">
        <f>SUM(D26:D30)</f>
        <v>247.88711786441399</v>
      </c>
      <c r="E31" s="64">
        <f>B26+C31+D31</f>
        <v>22029.455117864414</v>
      </c>
      <c r="F31" s="64"/>
      <c r="G31" s="64">
        <f>SUM(G26:G30)</f>
        <v>15622.473808738931</v>
      </c>
      <c r="H31" s="64">
        <f t="shared" ref="H31:I31" si="22">SUM(H26:H30)</f>
        <v>5964.6333091254846</v>
      </c>
      <c r="I31" s="64">
        <f t="shared" si="22"/>
        <v>21587.107117864416</v>
      </c>
      <c r="J31" s="64"/>
      <c r="K31" s="20"/>
      <c r="L31" s="20"/>
    </row>
    <row r="32" spans="1:12" ht="17" x14ac:dyDescent="0.35">
      <c r="A32" s="77" t="s">
        <v>165</v>
      </c>
      <c r="B32" s="36"/>
      <c r="C32" s="36"/>
      <c r="D32" s="36"/>
      <c r="E32" s="36"/>
      <c r="F32" s="36"/>
      <c r="G32" s="36"/>
      <c r="H32" s="36"/>
      <c r="I32" s="36"/>
      <c r="J32" s="36"/>
      <c r="K32" s="20"/>
      <c r="L32" s="20"/>
    </row>
    <row r="33" spans="1:12" ht="15.5" x14ac:dyDescent="0.35">
      <c r="A33" s="36" t="s">
        <v>115</v>
      </c>
      <c r="B33" s="36"/>
      <c r="C33" s="36"/>
      <c r="D33" s="36"/>
      <c r="E33" s="36"/>
      <c r="F33" s="36"/>
      <c r="G33" s="36"/>
      <c r="H33" s="36"/>
      <c r="I33" s="36"/>
      <c r="J33" s="36"/>
      <c r="K33" s="20"/>
      <c r="L33" s="20"/>
    </row>
    <row r="34" spans="1:12" ht="15.5" x14ac:dyDescent="0.35">
      <c r="A34" s="40" t="s">
        <v>20</v>
      </c>
      <c r="B34" s="69">
        <f ca="1">NOW()</f>
        <v>43934.390529629629</v>
      </c>
      <c r="C34" s="56"/>
      <c r="D34" s="52"/>
      <c r="E34" s="52"/>
      <c r="F34" s="52"/>
      <c r="G34" s="52"/>
      <c r="H34" s="52"/>
      <c r="I34" s="52"/>
      <c r="J34" s="52"/>
      <c r="K34" s="20"/>
      <c r="L34" s="20"/>
    </row>
    <row r="35" spans="1:12" ht="15.5" x14ac:dyDescent="0.35">
      <c r="A35" s="1"/>
      <c r="B35" s="3"/>
      <c r="C35" s="4"/>
      <c r="D35" s="3"/>
      <c r="E35" s="3"/>
      <c r="F35" s="3"/>
      <c r="G35" s="3"/>
      <c r="H35" s="5"/>
      <c r="I35" s="3"/>
      <c r="J35" s="3"/>
      <c r="K35" s="20"/>
      <c r="L35" s="20"/>
    </row>
    <row r="36" spans="1:12" ht="15.5" x14ac:dyDescent="0.35">
      <c r="A36" s="1"/>
      <c r="B36" s="3"/>
      <c r="C36" s="3"/>
      <c r="D36" s="3"/>
      <c r="E36" s="3"/>
      <c r="F36" s="3"/>
      <c r="G36" s="3"/>
      <c r="H36" s="3"/>
      <c r="I36" s="3"/>
      <c r="J36" s="3"/>
      <c r="K36" s="20"/>
      <c r="L36" s="20"/>
    </row>
    <row r="37" spans="1:12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20"/>
      <c r="L37" s="20"/>
    </row>
    <row r="38" spans="1:12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20"/>
      <c r="L38" s="20"/>
    </row>
    <row r="39" spans="1:12" ht="15.5" x14ac:dyDescent="0.35">
      <c r="K39" s="20"/>
      <c r="L39" s="20"/>
    </row>
    <row r="40" spans="1:12" ht="15.5" x14ac:dyDescent="0.35">
      <c r="K40" s="20"/>
      <c r="L40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5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5" t="s">
        <v>158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" x14ac:dyDescent="0.3">
      <c r="A2" s="36"/>
      <c r="B2" s="169" t="s">
        <v>0</v>
      </c>
      <c r="C2" s="169"/>
      <c r="D2" s="169"/>
      <c r="E2" s="169"/>
      <c r="F2" s="39"/>
      <c r="G2" s="169" t="s">
        <v>19</v>
      </c>
      <c r="H2" s="169"/>
      <c r="I2" s="169"/>
      <c r="J2" s="37"/>
      <c r="K2" s="37"/>
      <c r="L2" s="36"/>
    </row>
    <row r="3" spans="1:13" ht="14" x14ac:dyDescent="0.3">
      <c r="A3" s="36" t="s">
        <v>76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" x14ac:dyDescent="0.3">
      <c r="A4" s="41" t="s">
        <v>77</v>
      </c>
      <c r="B4" s="43" t="s">
        <v>27</v>
      </c>
      <c r="C4" s="44"/>
      <c r="D4" s="44"/>
      <c r="E4" s="44"/>
      <c r="F4" s="44"/>
      <c r="G4" s="43" t="s">
        <v>3</v>
      </c>
      <c r="H4" s="43" t="s">
        <v>88</v>
      </c>
      <c r="I4" s="43" t="s">
        <v>110</v>
      </c>
      <c r="J4" s="44"/>
      <c r="K4" s="44"/>
      <c r="L4" s="78" t="s">
        <v>87</v>
      </c>
    </row>
    <row r="5" spans="1:13" ht="14.5" x14ac:dyDescent="0.35">
      <c r="A5" s="36"/>
      <c r="B5" s="171" t="s">
        <v>101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3">
      <c r="A7" s="36" t="s">
        <v>126</v>
      </c>
      <c r="B7" s="72">
        <v>1710.954</v>
      </c>
      <c r="C7" s="72">
        <v>23772.428000000004</v>
      </c>
      <c r="D7" s="72"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v>7133.6900000000005</v>
      </c>
      <c r="I7" s="72">
        <f t="shared" ref="I7:I9" si="2">G7-H7</f>
        <v>14246.54059872978</v>
      </c>
      <c r="J7" s="72">
        <v>2443.0335180264719</v>
      </c>
      <c r="K7" s="72">
        <f t="shared" ref="K7:K9" si="3">E7-L7</f>
        <v>23823.264116756254</v>
      </c>
      <c r="L7" s="72">
        <v>1995.434</v>
      </c>
      <c r="M7" s="17"/>
    </row>
    <row r="8" spans="1:13" ht="16.5" x14ac:dyDescent="0.3">
      <c r="A8" s="36" t="s">
        <v>148</v>
      </c>
      <c r="B8" s="72">
        <f>L7</f>
        <v>1995.434</v>
      </c>
      <c r="C8" s="72">
        <f>C24</f>
        <v>24197.199000000004</v>
      </c>
      <c r="D8" s="72">
        <f>D24</f>
        <v>398.08249626894712</v>
      </c>
      <c r="E8" s="72">
        <f t="shared" si="0"/>
        <v>26590.715496268953</v>
      </c>
      <c r="F8" s="72"/>
      <c r="G8" s="72">
        <f t="shared" si="1"/>
        <v>22874.049476166245</v>
      </c>
      <c r="H8" s="72">
        <f>H24</f>
        <v>7863.3000000000011</v>
      </c>
      <c r="I8" s="72">
        <f t="shared" si="2"/>
        <v>15010.749476166244</v>
      </c>
      <c r="J8" s="72">
        <f>J24</f>
        <v>1941.35002010271</v>
      </c>
      <c r="K8" s="72">
        <f t="shared" si="3"/>
        <v>24815.399496268954</v>
      </c>
      <c r="L8" s="72">
        <f>L23</f>
        <v>1775.316</v>
      </c>
      <c r="M8" s="17"/>
    </row>
    <row r="9" spans="1:13" ht="16.5" x14ac:dyDescent="0.3">
      <c r="A9" s="36" t="s">
        <v>153</v>
      </c>
      <c r="B9" s="72">
        <f>L8</f>
        <v>1775.316</v>
      </c>
      <c r="C9" s="72">
        <v>24480</v>
      </c>
      <c r="D9" s="72">
        <v>375</v>
      </c>
      <c r="E9" s="72">
        <f t="shared" si="0"/>
        <v>26630.315999999999</v>
      </c>
      <c r="F9" s="72"/>
      <c r="G9" s="72">
        <f t="shared" si="1"/>
        <v>22400.315999999999</v>
      </c>
      <c r="H9" s="72">
        <v>7700</v>
      </c>
      <c r="I9" s="72">
        <f t="shared" si="2"/>
        <v>14700.315999999999</v>
      </c>
      <c r="J9" s="72">
        <v>2400</v>
      </c>
      <c r="K9" s="72">
        <f t="shared" si="3"/>
        <v>24800.315999999999</v>
      </c>
      <c r="L9" s="72">
        <v>1830</v>
      </c>
      <c r="M9" s="17"/>
    </row>
    <row r="10" spans="1:13" ht="14" x14ac:dyDescent="0.3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" x14ac:dyDescent="0.3">
      <c r="A11" s="36" t="s">
        <v>149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" x14ac:dyDescent="0.3">
      <c r="A12" s="39" t="s">
        <v>51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4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63"/>
    </row>
    <row r="13" spans="1:13" ht="14" x14ac:dyDescent="0.3">
      <c r="A13" s="39" t="s">
        <v>52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4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" x14ac:dyDescent="0.3">
      <c r="A14" s="39" t="s">
        <v>53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4"/>
        <v>1208.7784950247783</v>
      </c>
      <c r="J14" s="57">
        <f>(61.867102+0.216942+9.105599+0.354947)*2.204622</f>
        <v>157.72877709498002</v>
      </c>
      <c r="K14" s="73">
        <f t="shared" ref="K14:K23" si="5">E14-L14</f>
        <v>2134.2672721197582</v>
      </c>
      <c r="L14" s="73">
        <f>1601.77+344.078</f>
        <v>1945.848</v>
      </c>
    </row>
    <row r="15" spans="1:13" ht="14" x14ac:dyDescent="0.3">
      <c r="A15" s="39" t="s">
        <v>54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6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4"/>
        <v>1244.0860887065257</v>
      </c>
      <c r="J15" s="57">
        <f>(86.321768+0.169398+13.585229+0.194563)*2.204622</f>
        <v>221.05955996787603</v>
      </c>
      <c r="K15" s="73">
        <f t="shared" si="5"/>
        <v>2087.9556486744018</v>
      </c>
      <c r="L15" s="73">
        <f>1659.501+345.227</f>
        <v>2004.7280000000001</v>
      </c>
    </row>
    <row r="16" spans="1:13" ht="14" x14ac:dyDescent="0.3">
      <c r="A16" s="39" t="s">
        <v>55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6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4"/>
        <v>1132.814277333996</v>
      </c>
      <c r="J16" s="57">
        <f>(29.230159+0.074299+12.057246+0.250165)*2.204622</f>
        <v>91.738441858518016</v>
      </c>
      <c r="K16" s="73">
        <f t="shared" si="5"/>
        <v>1784.1227191925141</v>
      </c>
      <c r="L16" s="73">
        <f>1762.965+386.165</f>
        <v>2149.13</v>
      </c>
    </row>
    <row r="17" spans="1:12" ht="14" x14ac:dyDescent="0.3">
      <c r="A17" s="39" t="s">
        <v>56</v>
      </c>
      <c r="B17" s="73">
        <f t="shared" ref="B17:B18" si="7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6"/>
        <v>4273.9492281123185</v>
      </c>
      <c r="F17" s="73"/>
      <c r="G17" s="73">
        <f t="shared" ref="G17" si="8">K17-J17</f>
        <v>1769.1811510570665</v>
      </c>
      <c r="H17" s="73">
        <v>617.01</v>
      </c>
      <c r="I17" s="57">
        <f t="shared" si="4"/>
        <v>1152.1711510570665</v>
      </c>
      <c r="J17" s="57">
        <f>(105.920622+0.129031+16.580273+0.67424)*2.204622</f>
        <v>271.83907705525195</v>
      </c>
      <c r="K17" s="73">
        <f t="shared" si="5"/>
        <v>2041.0202281123184</v>
      </c>
      <c r="L17" s="73">
        <f>1893.918+339.011</f>
        <v>2232.9290000000001</v>
      </c>
    </row>
    <row r="18" spans="1:12" ht="14" x14ac:dyDescent="0.3">
      <c r="A18" s="39" t="s">
        <v>57</v>
      </c>
      <c r="B18" s="73">
        <f t="shared" si="7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6"/>
        <v>4251.0556211460889</v>
      </c>
      <c r="F18" s="73"/>
      <c r="G18" s="73">
        <f t="shared" ref="G18:G23" si="9">K18-J18</f>
        <v>1845.2466056534167</v>
      </c>
      <c r="H18" s="73">
        <v>631.84</v>
      </c>
      <c r="I18" s="57">
        <f t="shared" si="4"/>
        <v>1213.4066056534166</v>
      </c>
      <c r="J18" s="57">
        <f>(54.848471+0.2357+11.759032+0.380573)*2.204622</f>
        <v>148.20301549267199</v>
      </c>
      <c r="K18" s="73">
        <f t="shared" si="5"/>
        <v>1993.4496211460887</v>
      </c>
      <c r="L18" s="73">
        <f>1893.351+364.255</f>
        <v>2257.6060000000002</v>
      </c>
    </row>
    <row r="19" spans="1:12" ht="14" x14ac:dyDescent="0.3">
      <c r="A19" s="39" t="s">
        <v>58</v>
      </c>
      <c r="B19" s="73">
        <f t="shared" ref="B19:B20" si="10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6"/>
        <v>4208.2642194068594</v>
      </c>
      <c r="F19" s="73"/>
      <c r="G19" s="73">
        <f t="shared" si="9"/>
        <v>1983.6632017077052</v>
      </c>
      <c r="H19" s="73">
        <v>659.05</v>
      </c>
      <c r="I19" s="57">
        <f t="shared" si="4"/>
        <v>1324.6132017077052</v>
      </c>
      <c r="J19" s="57">
        <f>(80.309787+0.081671+12.554494+0.373455)*2.204622</f>
        <v>205.73401769915404</v>
      </c>
      <c r="K19" s="73">
        <f t="shared" si="5"/>
        <v>2189.3972194068592</v>
      </c>
      <c r="L19" s="73">
        <f>1662.782+356.085</f>
        <v>2018.867</v>
      </c>
    </row>
    <row r="20" spans="1:12" ht="14" x14ac:dyDescent="0.3">
      <c r="A20" s="39" t="s">
        <v>59</v>
      </c>
      <c r="B20" s="73">
        <f t="shared" si="10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1">SUM(B20:D20)</f>
        <v>3865.4542089258862</v>
      </c>
      <c r="F20" s="73"/>
      <c r="G20" s="73">
        <f t="shared" si="9"/>
        <v>1755.6417846767504</v>
      </c>
      <c r="H20" s="73">
        <v>594.15</v>
      </c>
      <c r="I20" s="57">
        <f t="shared" si="4"/>
        <v>1161.4917846767503</v>
      </c>
      <c r="J20" s="57">
        <f>(33.517763+0.113445+9.280684+0.357396)*2.204622</f>
        <v>95.392424249136013</v>
      </c>
      <c r="K20" s="73">
        <f t="shared" si="5"/>
        <v>1851.0342089258863</v>
      </c>
      <c r="L20" s="73">
        <f>1595.273+419.147</f>
        <v>2014.4199999999998</v>
      </c>
    </row>
    <row r="21" spans="1:12" ht="14" x14ac:dyDescent="0.3">
      <c r="A21" s="39" t="s">
        <v>61</v>
      </c>
      <c r="B21" s="73">
        <f t="shared" ref="B21:B22" si="12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3">SUM(B21:D21)</f>
        <v>4141.0860110453277</v>
      </c>
      <c r="F21" s="73"/>
      <c r="G21" s="73">
        <f t="shared" si="9"/>
        <v>1927.2665944961554</v>
      </c>
      <c r="H21" s="73">
        <v>708.5</v>
      </c>
      <c r="I21" s="57">
        <f t="shared" si="4"/>
        <v>1218.7665944961554</v>
      </c>
      <c r="J21" s="57">
        <f>(68.326636+0.060647+10.41124+0.271003)*2.204622</f>
        <v>174.31841654917196</v>
      </c>
      <c r="K21" s="73">
        <f t="shared" si="5"/>
        <v>2101.5850110453275</v>
      </c>
      <c r="L21" s="73">
        <f>1652.854+386.647</f>
        <v>2039.501</v>
      </c>
    </row>
    <row r="22" spans="1:12" ht="14" x14ac:dyDescent="0.3">
      <c r="A22" s="39" t="s">
        <v>62</v>
      </c>
      <c r="B22" s="73">
        <f t="shared" si="12"/>
        <v>2039.501</v>
      </c>
      <c r="C22" s="57">
        <v>2049.8879999999999</v>
      </c>
      <c r="D22" s="73">
        <f>(0.862494+0+14.121916+0)*2.204622</f>
        <v>33.034959943019999</v>
      </c>
      <c r="E22" s="73">
        <f t="shared" ref="E22:E23" si="14">SUM(B22:D22)</f>
        <v>4122.4239599430202</v>
      </c>
      <c r="F22" s="73"/>
      <c r="G22" s="73">
        <f t="shared" si="9"/>
        <v>2150.6900612605705</v>
      </c>
      <c r="H22" s="73">
        <v>701.14</v>
      </c>
      <c r="I22" s="57">
        <f t="shared" si="4"/>
        <v>1449.5500612605706</v>
      </c>
      <c r="J22" s="57">
        <f>(62.810085+0.176713+11.902338+0.219839)*2.204622</f>
        <v>165.58689868245</v>
      </c>
      <c r="K22" s="73">
        <f t="shared" si="5"/>
        <v>2316.2769599430203</v>
      </c>
      <c r="L22" s="73">
        <f>1439.479+366.668</f>
        <v>1806.1469999999999</v>
      </c>
    </row>
    <row r="23" spans="1:12" ht="14" x14ac:dyDescent="0.3">
      <c r="A23" s="39" t="s">
        <v>64</v>
      </c>
      <c r="B23" s="73">
        <f t="shared" ref="B23" si="15">L22</f>
        <v>1806.1469999999999</v>
      </c>
      <c r="C23" s="57">
        <v>1900.6679999999999</v>
      </c>
      <c r="D23" s="73">
        <f>(0.684189+0+10.72796+0)*2.204622</f>
        <v>25.159474752678001</v>
      </c>
      <c r="E23" s="73">
        <f t="shared" si="14"/>
        <v>3731.9744747526775</v>
      </c>
      <c r="F23" s="73"/>
      <c r="G23" s="73">
        <f t="shared" si="9"/>
        <v>1908.1872872888034</v>
      </c>
      <c r="H23" s="73">
        <v>598.79999999999995</v>
      </c>
      <c r="I23" s="57">
        <f t="shared" si="4"/>
        <v>1309.3872872888035</v>
      </c>
      <c r="J23" s="57">
        <f>(13.923865+0.096396+7.740426+0.22548)*2.204622</f>
        <v>48.471187463874003</v>
      </c>
      <c r="K23" s="73">
        <f t="shared" si="5"/>
        <v>1956.6584747526774</v>
      </c>
      <c r="L23" s="73">
        <f>1400.569+374.747</f>
        <v>1775.316</v>
      </c>
    </row>
    <row r="24" spans="1:12" ht="14" x14ac:dyDescent="0.3">
      <c r="A24" s="39" t="s">
        <v>3</v>
      </c>
      <c r="B24" s="73"/>
      <c r="C24" s="57">
        <f>SUM(C12:C23)</f>
        <v>24197.199000000004</v>
      </c>
      <c r="D24" s="161">
        <f>SUM(D12:D23)</f>
        <v>398.08249626894712</v>
      </c>
      <c r="E24" s="57">
        <f>B12+C24+D24</f>
        <v>26590.715496268953</v>
      </c>
      <c r="F24" s="73"/>
      <c r="G24" s="57">
        <f t="shared" ref="G24" si="16">SUM(G12:G22)</f>
        <v>20965.862188877432</v>
      </c>
      <c r="H24" s="73">
        <f t="shared" ref="H24:K24" si="17">SUM(H12:H23)</f>
        <v>7863.3000000000011</v>
      </c>
      <c r="I24" s="57">
        <f t="shared" si="17"/>
        <v>15010.749476166238</v>
      </c>
      <c r="J24" s="73">
        <f t="shared" si="17"/>
        <v>1941.35002010271</v>
      </c>
      <c r="K24" s="57">
        <f t="shared" si="17"/>
        <v>24815.399496268943</v>
      </c>
      <c r="L24" s="73"/>
    </row>
    <row r="25" spans="1:12" ht="14" x14ac:dyDescent="0.3">
      <c r="A25" s="39"/>
      <c r="B25" s="157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" x14ac:dyDescent="0.3">
      <c r="A26" s="36" t="s">
        <v>154</v>
      </c>
      <c r="B26" s="157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" x14ac:dyDescent="0.3">
      <c r="A27" s="39" t="s">
        <v>51</v>
      </c>
      <c r="B27" s="73">
        <f>L23</f>
        <v>1775.316</v>
      </c>
      <c r="C27" s="57">
        <v>2149.9690000000001</v>
      </c>
      <c r="D27" s="73">
        <f>(0.907773+0+12.844502+0.018812)*2.204622</f>
        <v>30.360041364114004</v>
      </c>
      <c r="E27" s="73">
        <f>SUM(B27:D27)</f>
        <v>3955.6450413641137</v>
      </c>
      <c r="F27" s="73"/>
      <c r="G27" s="73">
        <f>K27-J27</f>
        <v>1882.1492755953216</v>
      </c>
      <c r="H27" s="73">
        <v>557.52</v>
      </c>
      <c r="I27" s="57">
        <f t="shared" ref="I27:I30" si="18">G27-H27</f>
        <v>1324.6292755953216</v>
      </c>
      <c r="J27" s="57">
        <f>(101.93585+0.105555+12.233566+0.274265)*2.204622</f>
        <v>252.53776576879199</v>
      </c>
      <c r="K27" s="73">
        <f t="shared" ref="K27" si="19">E27-L27</f>
        <v>2134.6870413641136</v>
      </c>
      <c r="L27" s="73">
        <f>1471.929+349.029</f>
        <v>1820.9580000000001</v>
      </c>
    </row>
    <row r="28" spans="1:12" ht="14" x14ac:dyDescent="0.3">
      <c r="A28" s="39" t="s">
        <v>52</v>
      </c>
      <c r="B28" s="73">
        <f>L27</f>
        <v>1820.9580000000001</v>
      </c>
      <c r="C28" s="57">
        <v>1999.6479999999999</v>
      </c>
      <c r="D28" s="73">
        <f>(0.910947+0.102526+10.043143+0.035035)*2.204622</f>
        <v>24.452897810922003</v>
      </c>
      <c r="E28" s="73">
        <f>SUM(B28:D28)</f>
        <v>3845.0588978109217</v>
      </c>
      <c r="F28" s="73"/>
      <c r="G28" s="73">
        <f>K28-J28</f>
        <v>1717.3420470609037</v>
      </c>
      <c r="H28" s="73">
        <v>526.53</v>
      </c>
      <c r="I28" s="57">
        <f t="shared" si="18"/>
        <v>1190.8120470609038</v>
      </c>
      <c r="J28" s="57">
        <f>(93.464898+0.168085+18.337287+0.229849)*2.204622</f>
        <v>247.35885075001804</v>
      </c>
      <c r="K28" s="73">
        <f>E28-L28</f>
        <v>1964.7008978109218</v>
      </c>
      <c r="L28" s="73">
        <f>1522.923+357.435</f>
        <v>1880.3579999999999</v>
      </c>
    </row>
    <row r="29" spans="1:12" ht="14" x14ac:dyDescent="0.3">
      <c r="A29" s="39" t="s">
        <v>53</v>
      </c>
      <c r="B29" s="73">
        <f>L28</f>
        <v>1880.3579999999999</v>
      </c>
      <c r="C29" s="57">
        <v>2110.9360000000001</v>
      </c>
      <c r="D29" s="73">
        <f>(1.51487+0.111025+14.404446+0)*2.204622</f>
        <v>35.340842436102001</v>
      </c>
      <c r="E29" s="73">
        <f>SUM(B29:D29)</f>
        <v>4026.6348424361017</v>
      </c>
      <c r="F29" s="73"/>
      <c r="G29" s="73">
        <f>K29-J29</f>
        <v>1708.311736787246</v>
      </c>
      <c r="H29" s="73">
        <v>541.04999999999995</v>
      </c>
      <c r="I29" s="57">
        <f t="shared" si="18"/>
        <v>1167.261736787246</v>
      </c>
      <c r="J29" s="57">
        <f>(63.337525+0.026618+20.04504+0.169365)*2.204622</f>
        <v>184.25910564885601</v>
      </c>
      <c r="K29" s="73">
        <f>E29-L29</f>
        <v>1892.5708424361019</v>
      </c>
      <c r="L29" s="73">
        <f>1749.423+384.641</f>
        <v>2134.0639999999999</v>
      </c>
    </row>
    <row r="30" spans="1:12" ht="14" x14ac:dyDescent="0.3">
      <c r="A30" s="39" t="s">
        <v>54</v>
      </c>
      <c r="B30" s="73">
        <f>L29</f>
        <v>2134.0639999999999</v>
      </c>
      <c r="C30" s="57">
        <v>2154.4270000000001</v>
      </c>
      <c r="D30" s="73">
        <f>(2.126531+0.443575+12.214776+0)*2.204622</f>
        <v>32.595076124603999</v>
      </c>
      <c r="E30" s="73">
        <f>SUM(B30:D30)</f>
        <v>4321.086076124604</v>
      </c>
      <c r="F30" s="73"/>
      <c r="G30" s="73">
        <f>K30-J30</f>
        <v>1844.199548509308</v>
      </c>
      <c r="H30" s="73">
        <v>520.94000000000005</v>
      </c>
      <c r="I30" s="57">
        <f t="shared" si="18"/>
        <v>1323.2595485093079</v>
      </c>
      <c r="J30" s="57">
        <f>(44.792336+0.117811+11.595679+0.239742)*2.204622</f>
        <v>125.102527615296</v>
      </c>
      <c r="K30" s="73">
        <f>E30-L30</f>
        <v>1969.3020761246039</v>
      </c>
      <c r="L30" s="73">
        <f>1989.164+362.62</f>
        <v>2351.7840000000001</v>
      </c>
    </row>
    <row r="31" spans="1:12" ht="14" x14ac:dyDescent="0.3">
      <c r="A31" s="39" t="s">
        <v>55</v>
      </c>
      <c r="B31" s="73">
        <f>L30</f>
        <v>2351.7840000000001</v>
      </c>
      <c r="C31" s="57">
        <v>1999.5239999999999</v>
      </c>
      <c r="D31" s="73">
        <f>(2.359956+0.08919+10.275538+0)*2.204622</f>
        <v>28.053118289448001</v>
      </c>
      <c r="E31" s="73">
        <f>SUM(B31:D31)</f>
        <v>4379.3611182894483</v>
      </c>
      <c r="F31" s="73"/>
      <c r="G31" s="73">
        <f>K31-J31</f>
        <v>1605.6683977361104</v>
      </c>
      <c r="H31" s="73" t="s">
        <v>10</v>
      </c>
      <c r="I31" s="73" t="s">
        <v>10</v>
      </c>
      <c r="J31" s="57">
        <f>(163.046872+0.108209+16.27962+0.298478)*2.204622</f>
        <v>396.24372055333799</v>
      </c>
      <c r="K31" s="73">
        <f>E31-L31</f>
        <v>2001.9121182894482</v>
      </c>
      <c r="L31" s="73">
        <f>1996.747+380.702</f>
        <v>2377.4490000000001</v>
      </c>
    </row>
    <row r="32" spans="1:12" ht="14" x14ac:dyDescent="0.3">
      <c r="A32" s="35" t="s">
        <v>150</v>
      </c>
      <c r="B32" s="129"/>
      <c r="C32" s="64">
        <f>SUM(C27:C31)</f>
        <v>10414.503999999999</v>
      </c>
      <c r="D32" s="167">
        <f>SUM(D27:D31)</f>
        <v>150.80197602519002</v>
      </c>
      <c r="E32" s="64">
        <f t="shared" ref="E32" si="20">SUM(E27:E28)</f>
        <v>7800.703939175035</v>
      </c>
      <c r="F32" s="64"/>
      <c r="G32" s="64">
        <f>SUM(G27:G31)</f>
        <v>8757.6710056888896</v>
      </c>
      <c r="H32" s="64">
        <f t="shared" ref="H32:K32" si="21">SUM(H27:H31)</f>
        <v>2146.04</v>
      </c>
      <c r="I32" s="64">
        <f t="shared" si="21"/>
        <v>5005.9626079527798</v>
      </c>
      <c r="J32" s="64">
        <f t="shared" si="21"/>
        <v>1205.5019703363</v>
      </c>
      <c r="K32" s="64">
        <f t="shared" si="21"/>
        <v>9963.1729760251892</v>
      </c>
      <c r="L32" s="79"/>
    </row>
    <row r="33" spans="1:12" ht="16.5" x14ac:dyDescent="0.3">
      <c r="A33" s="77" t="s">
        <v>166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4.5" x14ac:dyDescent="0.35">
      <c r="A34" s="36" t="s">
        <v>115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4" x14ac:dyDescent="0.3">
      <c r="A35" s="40" t="s">
        <v>20</v>
      </c>
      <c r="B35" s="69">
        <f ca="1">NOW()</f>
        <v>43934.390529629629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5" t="s">
        <v>159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" x14ac:dyDescent="0.3">
      <c r="A2" s="36"/>
      <c r="B2" s="169" t="s">
        <v>0</v>
      </c>
      <c r="C2" s="169"/>
      <c r="D2" s="169"/>
      <c r="E2" s="169"/>
      <c r="F2" s="80"/>
      <c r="G2" s="169" t="s">
        <v>19</v>
      </c>
      <c r="H2" s="169"/>
      <c r="I2" s="169"/>
      <c r="J2" s="169"/>
      <c r="K2" s="80"/>
      <c r="L2" s="36"/>
      <c r="M2" s="36"/>
      <c r="N2" s="36"/>
      <c r="O2" s="36"/>
    </row>
    <row r="3" spans="1:15" ht="14" x14ac:dyDescent="0.3">
      <c r="A3" s="36" t="s">
        <v>76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" x14ac:dyDescent="0.3">
      <c r="A4" s="41" t="s">
        <v>78</v>
      </c>
      <c r="B4" s="43" t="s">
        <v>47</v>
      </c>
      <c r="C4" s="82" t="s">
        <v>1</v>
      </c>
      <c r="D4" s="45" t="s">
        <v>31</v>
      </c>
      <c r="E4" s="43" t="s">
        <v>86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5" x14ac:dyDescent="0.35">
      <c r="A5" s="36"/>
      <c r="B5" s="170" t="s">
        <v>14</v>
      </c>
      <c r="C5" s="170"/>
      <c r="D5" s="170"/>
      <c r="E5" s="170"/>
      <c r="F5" s="170"/>
      <c r="G5" s="170"/>
      <c r="H5" s="170"/>
      <c r="I5" s="170"/>
      <c r="J5" s="170"/>
      <c r="K5" s="170"/>
      <c r="L5" s="36"/>
      <c r="M5" s="36"/>
      <c r="N5" s="36"/>
      <c r="O5" s="36"/>
    </row>
    <row r="6" spans="1:15" ht="14" x14ac:dyDescent="0.3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3">
      <c r="A7" s="36" t="s">
        <v>126</v>
      </c>
      <c r="B7" s="84">
        <v>400</v>
      </c>
      <c r="C7" s="84">
        <v>6422</v>
      </c>
      <c r="D7" s="85">
        <v>0</v>
      </c>
      <c r="E7" s="84">
        <f>B7+C7+D7</f>
        <v>6822</v>
      </c>
      <c r="F7" s="51"/>
      <c r="G7" s="84">
        <v>1853.576</v>
      </c>
      <c r="H7" s="86">
        <v>478.09618</v>
      </c>
      <c r="I7" s="84">
        <f>J7-G7-H7</f>
        <v>4039.32782</v>
      </c>
      <c r="J7" s="84">
        <f>E7-K7</f>
        <v>6371</v>
      </c>
      <c r="K7" s="84">
        <v>451</v>
      </c>
      <c r="L7" s="36"/>
      <c r="M7" s="36"/>
      <c r="N7" s="36"/>
      <c r="O7" s="36"/>
    </row>
    <row r="8" spans="1:15" ht="16.5" x14ac:dyDescent="0.3">
      <c r="A8" s="36" t="s">
        <v>148</v>
      </c>
      <c r="B8" s="84">
        <f>K7</f>
        <v>451</v>
      </c>
      <c r="C8" s="84">
        <v>5631</v>
      </c>
      <c r="D8" s="85">
        <v>0.50413091273999999</v>
      </c>
      <c r="E8" s="84">
        <f>B8+C8+D8</f>
        <v>6082.50413091274</v>
      </c>
      <c r="F8" s="51"/>
      <c r="G8" s="84">
        <v>1760.4089999999999</v>
      </c>
      <c r="H8" s="86">
        <v>387.03680000000003</v>
      </c>
      <c r="I8" s="84">
        <f t="shared" ref="I8:I9" si="0">J8-G8-H8</f>
        <v>3458.0583309127405</v>
      </c>
      <c r="J8" s="84">
        <f t="shared" ref="J8:J9" si="1">E8-K8</f>
        <v>5605.50413091274</v>
      </c>
      <c r="K8" s="84">
        <v>477</v>
      </c>
      <c r="L8" s="36"/>
      <c r="M8" s="36"/>
      <c r="N8" s="36"/>
      <c r="O8" s="36"/>
    </row>
    <row r="9" spans="1:15" ht="16.5" x14ac:dyDescent="0.3">
      <c r="A9" s="35" t="s">
        <v>153</v>
      </c>
      <c r="B9" s="87">
        <f>K8</f>
        <v>477</v>
      </c>
      <c r="C9" s="87">
        <v>6232</v>
      </c>
      <c r="D9" s="88">
        <v>2</v>
      </c>
      <c r="E9" s="87">
        <f>B9+C9+D9</f>
        <v>6711</v>
      </c>
      <c r="F9" s="89"/>
      <c r="G9" s="87">
        <v>1775</v>
      </c>
      <c r="H9" s="90">
        <v>300</v>
      </c>
      <c r="I9" s="87">
        <f t="shared" si="0"/>
        <v>4190</v>
      </c>
      <c r="J9" s="87">
        <f t="shared" si="1"/>
        <v>6265</v>
      </c>
      <c r="K9" s="87">
        <v>446</v>
      </c>
      <c r="L9" s="36"/>
      <c r="M9" s="36"/>
      <c r="N9" s="36"/>
      <c r="O9" s="36"/>
    </row>
    <row r="10" spans="1:15" ht="16.5" x14ac:dyDescent="0.3">
      <c r="A10" s="77" t="s">
        <v>116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5" x14ac:dyDescent="0.35">
      <c r="A11" s="36" t="s">
        <v>117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5" x14ac:dyDescent="0.35">
      <c r="A12" s="36" t="s">
        <v>118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" x14ac:dyDescent="0.3">
      <c r="A14" s="35" t="s">
        <v>160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" x14ac:dyDescent="0.3">
      <c r="A15" s="36"/>
      <c r="B15" s="169" t="s">
        <v>0</v>
      </c>
      <c r="C15" s="169"/>
      <c r="D15" s="169"/>
      <c r="E15" s="169"/>
      <c r="F15" s="36"/>
      <c r="G15" s="169" t="s">
        <v>19</v>
      </c>
      <c r="H15" s="169"/>
      <c r="I15" s="169"/>
      <c r="J15" s="36"/>
      <c r="K15" s="36"/>
      <c r="L15" s="36"/>
      <c r="M15" s="36"/>
      <c r="N15" s="36"/>
      <c r="O15" s="36"/>
    </row>
    <row r="16" spans="1:15" ht="14" x14ac:dyDescent="0.3">
      <c r="A16" s="36" t="s">
        <v>76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" x14ac:dyDescent="0.3">
      <c r="A17" s="41" t="s">
        <v>77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5" x14ac:dyDescent="0.35">
      <c r="A18" s="36"/>
      <c r="B18" s="170" t="s">
        <v>15</v>
      </c>
      <c r="C18" s="170"/>
      <c r="D18" s="170"/>
      <c r="E18" s="170"/>
      <c r="F18" s="170"/>
      <c r="G18" s="170"/>
      <c r="H18" s="170"/>
      <c r="I18" s="170"/>
      <c r="J18" s="170"/>
      <c r="K18" s="36"/>
      <c r="L18" s="36"/>
      <c r="M18" s="36"/>
      <c r="N18" s="36"/>
      <c r="O18" s="36"/>
    </row>
    <row r="19" spans="1:15" ht="14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3">
      <c r="A20" s="36" t="s">
        <v>126</v>
      </c>
      <c r="B20" s="84">
        <v>27.736000000000001</v>
      </c>
      <c r="C20" s="86">
        <v>845</v>
      </c>
      <c r="D20" s="85">
        <v>0</v>
      </c>
      <c r="E20" s="86">
        <f t="shared" ref="E20:E22" si="2">B20+C20+D20</f>
        <v>872.73599999999999</v>
      </c>
      <c r="F20" s="36"/>
      <c r="G20" s="86">
        <f>I20-H20</f>
        <v>708.28489999999999</v>
      </c>
      <c r="H20" s="86">
        <v>119.4511</v>
      </c>
      <c r="I20" s="86">
        <f>E20-J20</f>
        <v>827.73599999999999</v>
      </c>
      <c r="J20" s="84">
        <v>45</v>
      </c>
      <c r="K20" s="36"/>
      <c r="L20" s="36"/>
      <c r="M20" s="36"/>
      <c r="N20" s="36"/>
      <c r="O20" s="36"/>
    </row>
    <row r="21" spans="1:15" ht="16.5" x14ac:dyDescent="0.3">
      <c r="A21" s="36" t="s">
        <v>148</v>
      </c>
      <c r="B21" s="84">
        <f>J20</f>
        <v>45</v>
      </c>
      <c r="C21" s="86">
        <v>747.56499999999983</v>
      </c>
      <c r="D21" s="85">
        <v>0</v>
      </c>
      <c r="E21" s="86">
        <f t="shared" si="2"/>
        <v>792.56499999999983</v>
      </c>
      <c r="F21" s="36"/>
      <c r="G21" s="86">
        <f>I21-H21</f>
        <v>635.74568479057484</v>
      </c>
      <c r="H21" s="86">
        <v>113.81931520942503</v>
      </c>
      <c r="I21" s="86">
        <f t="shared" ref="I21:I22" si="3">E21-J21</f>
        <v>749.56499999999983</v>
      </c>
      <c r="J21" s="84">
        <v>43</v>
      </c>
      <c r="K21" s="36"/>
      <c r="L21" s="36"/>
      <c r="M21" s="36"/>
      <c r="N21" s="36"/>
      <c r="O21" s="36"/>
    </row>
    <row r="22" spans="1:15" ht="16.5" x14ac:dyDescent="0.3">
      <c r="A22" s="35" t="s">
        <v>153</v>
      </c>
      <c r="B22" s="87">
        <f>J21</f>
        <v>43</v>
      </c>
      <c r="C22" s="90">
        <v>800</v>
      </c>
      <c r="D22" s="88">
        <v>0</v>
      </c>
      <c r="E22" s="90">
        <f t="shared" si="2"/>
        <v>843</v>
      </c>
      <c r="F22" s="89"/>
      <c r="G22" s="90">
        <f>I22-H22</f>
        <v>668</v>
      </c>
      <c r="H22" s="90">
        <v>130</v>
      </c>
      <c r="I22" s="90">
        <f t="shared" si="3"/>
        <v>798</v>
      </c>
      <c r="J22" s="87">
        <v>45</v>
      </c>
      <c r="K22" s="36"/>
      <c r="L22" s="36"/>
      <c r="M22" s="36"/>
      <c r="N22" s="36"/>
      <c r="O22" s="36"/>
    </row>
    <row r="23" spans="1:15" ht="16.5" x14ac:dyDescent="0.3">
      <c r="A23" s="77" t="s">
        <v>116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5" x14ac:dyDescent="0.35">
      <c r="A24" s="36" t="s">
        <v>167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" x14ac:dyDescent="0.3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" x14ac:dyDescent="0.3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" x14ac:dyDescent="0.3">
      <c r="A27" s="35" t="s">
        <v>161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" x14ac:dyDescent="0.3">
      <c r="A28" s="36"/>
      <c r="B28" s="169" t="s">
        <v>0</v>
      </c>
      <c r="C28" s="169"/>
      <c r="D28" s="169"/>
      <c r="E28" s="169"/>
      <c r="F28" s="36"/>
      <c r="G28" s="169" t="s">
        <v>19</v>
      </c>
      <c r="H28" s="169"/>
      <c r="I28" s="169"/>
      <c r="J28" s="36"/>
      <c r="K28" s="36"/>
      <c r="L28" s="36"/>
      <c r="M28" s="36"/>
      <c r="N28" s="36"/>
      <c r="O28" s="36"/>
    </row>
    <row r="29" spans="1:15" ht="14" x14ac:dyDescent="0.3">
      <c r="A29" s="36" t="s">
        <v>76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" x14ac:dyDescent="0.3">
      <c r="A30" s="41" t="s">
        <v>77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87</v>
      </c>
      <c r="K30" s="36"/>
      <c r="L30" s="36"/>
      <c r="M30" s="36"/>
      <c r="N30" s="36"/>
      <c r="O30" s="36"/>
    </row>
    <row r="31" spans="1:15" ht="14.5" x14ac:dyDescent="0.35">
      <c r="A31" s="36"/>
      <c r="B31" s="170" t="s">
        <v>16</v>
      </c>
      <c r="C31" s="170"/>
      <c r="D31" s="170"/>
      <c r="E31" s="170"/>
      <c r="F31" s="170"/>
      <c r="G31" s="170"/>
      <c r="H31" s="170"/>
      <c r="I31" s="170"/>
      <c r="J31" s="170"/>
      <c r="K31" s="36"/>
      <c r="L31" s="36"/>
      <c r="M31" s="36"/>
      <c r="N31" s="36"/>
      <c r="O31" s="36"/>
    </row>
    <row r="32" spans="1:15" ht="1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3">
      <c r="A33" s="36" t="s">
        <v>126</v>
      </c>
      <c r="B33" s="85">
        <v>44.128999999999998</v>
      </c>
      <c r="C33" s="86">
        <v>561</v>
      </c>
      <c r="D33" s="85">
        <v>0.16077900000000001</v>
      </c>
      <c r="E33" s="93">
        <f t="shared" ref="E33:E35" si="4">B33+C33+D33</f>
        <v>605.28977900000007</v>
      </c>
      <c r="F33" s="36"/>
      <c r="G33" s="86">
        <f>I33-H33</f>
        <v>474.27177900000004</v>
      </c>
      <c r="H33" s="86">
        <v>99.018000000000001</v>
      </c>
      <c r="I33" s="86">
        <f t="shared" ref="I33:I35" si="5">E33-J33</f>
        <v>573.28977900000007</v>
      </c>
      <c r="J33" s="94">
        <v>32</v>
      </c>
      <c r="K33" s="36"/>
      <c r="L33" s="36"/>
      <c r="M33" s="36"/>
      <c r="N33" s="36"/>
      <c r="O33" s="36"/>
    </row>
    <row r="34" spans="1:15" ht="16.5" x14ac:dyDescent="0.3">
      <c r="A34" s="36" t="s">
        <v>148</v>
      </c>
      <c r="B34" s="85">
        <f>J33</f>
        <v>32</v>
      </c>
      <c r="C34" s="86">
        <v>455.77300000000002</v>
      </c>
      <c r="D34" s="85">
        <v>4.2840214704000006E-2</v>
      </c>
      <c r="E34" s="93">
        <f t="shared" si="4"/>
        <v>487.815840214704</v>
      </c>
      <c r="F34" s="36"/>
      <c r="G34" s="86">
        <f t="shared" ref="G34:G35" si="6">I34-H34</f>
        <v>365.13144403799004</v>
      </c>
      <c r="H34" s="86">
        <v>87.643396176713992</v>
      </c>
      <c r="I34" s="86">
        <f t="shared" si="5"/>
        <v>452.774840214704</v>
      </c>
      <c r="J34" s="94">
        <v>35.040999999999997</v>
      </c>
      <c r="K34" s="36"/>
      <c r="L34" s="36"/>
      <c r="M34" s="36"/>
      <c r="N34" s="36"/>
      <c r="O34" s="36"/>
    </row>
    <row r="35" spans="1:15" ht="16.5" x14ac:dyDescent="0.3">
      <c r="A35" s="35" t="s">
        <v>153</v>
      </c>
      <c r="B35" s="88">
        <f>J34</f>
        <v>35.040999999999997</v>
      </c>
      <c r="C35" s="90">
        <v>515</v>
      </c>
      <c r="D35" s="88">
        <v>0</v>
      </c>
      <c r="E35" s="95">
        <f t="shared" si="4"/>
        <v>550.04099999999994</v>
      </c>
      <c r="F35" s="89"/>
      <c r="G35" s="90">
        <f t="shared" si="6"/>
        <v>395.04099999999994</v>
      </c>
      <c r="H35" s="90">
        <v>110</v>
      </c>
      <c r="I35" s="90">
        <f t="shared" si="5"/>
        <v>505.04099999999994</v>
      </c>
      <c r="J35" s="90">
        <v>45</v>
      </c>
      <c r="K35" s="36"/>
      <c r="L35" s="36"/>
      <c r="M35" s="36"/>
      <c r="N35" s="36"/>
      <c r="O35" s="36"/>
    </row>
    <row r="36" spans="1:15" ht="16.5" x14ac:dyDescent="0.3">
      <c r="A36" s="77" t="s">
        <v>116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5" x14ac:dyDescent="0.35">
      <c r="A37" s="36" t="s">
        <v>167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" x14ac:dyDescent="0.3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" x14ac:dyDescent="0.3">
      <c r="A40" s="35" t="s">
        <v>162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" x14ac:dyDescent="0.3">
      <c r="A41" s="36"/>
      <c r="B41" s="169" t="s">
        <v>21</v>
      </c>
      <c r="C41" s="169"/>
      <c r="D41" s="38" t="s">
        <v>24</v>
      </c>
      <c r="E41" s="169" t="s">
        <v>83</v>
      </c>
      <c r="F41" s="169"/>
      <c r="G41" s="169"/>
      <c r="H41" s="169"/>
      <c r="I41" s="36"/>
      <c r="J41" s="169" t="s">
        <v>19</v>
      </c>
      <c r="K41" s="169"/>
      <c r="L41" s="169"/>
      <c r="M41" s="169"/>
      <c r="N41" s="169"/>
      <c r="O41" s="36"/>
    </row>
    <row r="42" spans="1:15" ht="14" x14ac:dyDescent="0.3">
      <c r="A42" s="36" t="s">
        <v>76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64" t="s">
        <v>9</v>
      </c>
      <c r="K42" s="38"/>
      <c r="L42" s="38" t="s">
        <v>90</v>
      </c>
      <c r="M42" s="38"/>
      <c r="N42" s="38"/>
      <c r="O42" s="38" t="s">
        <v>28</v>
      </c>
    </row>
    <row r="43" spans="1:15" ht="14" x14ac:dyDescent="0.3">
      <c r="A43" s="41" t="s">
        <v>78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87</v>
      </c>
    </row>
    <row r="44" spans="1:15" ht="14.5" x14ac:dyDescent="0.35">
      <c r="A44" s="36"/>
      <c r="B44" s="171" t="s">
        <v>85</v>
      </c>
      <c r="C44" s="170"/>
      <c r="D44" s="96" t="s">
        <v>71</v>
      </c>
      <c r="E44" s="170" t="s">
        <v>17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4" x14ac:dyDescent="0.3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3">
      <c r="A46" s="36" t="s">
        <v>126</v>
      </c>
      <c r="B46" s="84">
        <v>1871.6</v>
      </c>
      <c r="C46" s="84">
        <v>1775.6</v>
      </c>
      <c r="D46" s="84">
        <f>F46*1000/C46</f>
        <v>4007.3271006983555</v>
      </c>
      <c r="E46" s="84">
        <v>1441.5920000000001</v>
      </c>
      <c r="F46" s="84">
        <v>7115.41</v>
      </c>
      <c r="G46" s="94">
        <v>171.48</v>
      </c>
      <c r="H46" s="84">
        <f>SUM(E46:G46)</f>
        <v>8728.482</v>
      </c>
      <c r="I46" s="84"/>
      <c r="J46" s="84">
        <v>3148.9827068371601</v>
      </c>
      <c r="K46" s="84">
        <f>1.333*528.75</f>
        <v>704.82375000000002</v>
      </c>
      <c r="L46" s="86">
        <f>N46-J46-K46-M46</f>
        <v>886.59554316283993</v>
      </c>
      <c r="M46" s="94">
        <v>1271</v>
      </c>
      <c r="N46" s="84">
        <f>H46-O46</f>
        <v>6011.402</v>
      </c>
      <c r="O46" s="84">
        <v>2717.08</v>
      </c>
    </row>
    <row r="47" spans="1:15" ht="16.5" x14ac:dyDescent="0.3">
      <c r="A47" s="36" t="s">
        <v>148</v>
      </c>
      <c r="B47" s="84">
        <v>1425.5</v>
      </c>
      <c r="C47" s="84">
        <v>1373.5</v>
      </c>
      <c r="D47" s="84">
        <f>F47*1000/C47</f>
        <v>4001.4088096104842</v>
      </c>
      <c r="E47" s="84">
        <f>O46</f>
        <v>2717.08</v>
      </c>
      <c r="F47" s="84">
        <v>5495.9350000000004</v>
      </c>
      <c r="G47" s="94">
        <v>117</v>
      </c>
      <c r="H47" s="84">
        <f t="shared" ref="H47:H48" si="7">SUM(E47:G47)</f>
        <v>8330.0149999999994</v>
      </c>
      <c r="I47" s="84"/>
      <c r="J47" s="84">
        <v>3099</v>
      </c>
      <c r="K47" s="84">
        <f>1.333*486.398</f>
        <v>648.36853400000007</v>
      </c>
      <c r="L47" s="86">
        <f>N47-J47-K47-M47</f>
        <v>963.55646599999909</v>
      </c>
      <c r="M47" s="86">
        <v>1198</v>
      </c>
      <c r="N47" s="84">
        <f t="shared" ref="N47:N48" si="8">H47-O47</f>
        <v>5908.9249999999993</v>
      </c>
      <c r="O47" s="84">
        <v>2421.09</v>
      </c>
    </row>
    <row r="48" spans="1:15" ht="16.5" x14ac:dyDescent="0.3">
      <c r="A48" s="35" t="s">
        <v>153</v>
      </c>
      <c r="B48" s="87">
        <v>1427.7</v>
      </c>
      <c r="C48" s="87">
        <v>1391.7</v>
      </c>
      <c r="D48" s="87">
        <f>F48*1000/C48</f>
        <v>3949.189480491485</v>
      </c>
      <c r="E48" s="87">
        <f>O47</f>
        <v>2421.09</v>
      </c>
      <c r="F48" s="87">
        <v>5496.0870000000004</v>
      </c>
      <c r="G48" s="90">
        <v>115</v>
      </c>
      <c r="H48" s="87">
        <f t="shared" si="7"/>
        <v>8032.1770000000006</v>
      </c>
      <c r="I48" s="87"/>
      <c r="J48" s="87">
        <v>3158</v>
      </c>
      <c r="K48" s="87">
        <v>730</v>
      </c>
      <c r="L48" s="90">
        <f>N48-J48-K48-M48</f>
        <v>779.17700000000059</v>
      </c>
      <c r="M48" s="90">
        <v>1375</v>
      </c>
      <c r="N48" s="87">
        <f t="shared" si="8"/>
        <v>6042.1770000000006</v>
      </c>
      <c r="O48" s="87">
        <v>1990</v>
      </c>
    </row>
    <row r="49" spans="1:15" ht="16.5" x14ac:dyDescent="0.3">
      <c r="A49" s="77" t="s">
        <v>116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5" x14ac:dyDescent="0.35">
      <c r="A50" s="36" t="s">
        <v>119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5" x14ac:dyDescent="0.35">
      <c r="A51" s="36" t="s">
        <v>118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" x14ac:dyDescent="0.3">
      <c r="A52" s="40" t="s">
        <v>20</v>
      </c>
      <c r="B52" s="165">
        <f ca="1">NOW()</f>
        <v>43934.390529629629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2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5" customHeight="1" x14ac:dyDescent="0.3">
      <c r="A2" s="39" t="s">
        <v>11</v>
      </c>
      <c r="B2" s="78" t="s">
        <v>120</v>
      </c>
      <c r="C2" s="78" t="s">
        <v>121</v>
      </c>
      <c r="D2" s="78" t="s">
        <v>122</v>
      </c>
      <c r="E2" s="78" t="s">
        <v>123</v>
      </c>
      <c r="F2" s="78" t="s">
        <v>124</v>
      </c>
      <c r="G2" s="78" t="s">
        <v>125</v>
      </c>
      <c r="H2" s="1"/>
      <c r="I2" s="1"/>
      <c r="J2" s="1"/>
      <c r="K2" s="1"/>
    </row>
    <row r="3" spans="1:11" ht="15.65" customHeight="1" x14ac:dyDescent="0.3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5" x14ac:dyDescent="0.35">
      <c r="A4" s="98"/>
      <c r="B4" s="99" t="s">
        <v>69</v>
      </c>
      <c r="C4" s="99" t="s">
        <v>79</v>
      </c>
      <c r="D4" s="99" t="s">
        <v>96</v>
      </c>
      <c r="E4" s="99" t="s">
        <v>44</v>
      </c>
      <c r="F4" s="99" t="s">
        <v>68</v>
      </c>
      <c r="G4" s="99" t="s">
        <v>69</v>
      </c>
      <c r="H4" s="1"/>
      <c r="I4" s="2"/>
      <c r="J4" s="2"/>
      <c r="K4" s="2"/>
    </row>
    <row r="5" spans="1:11" ht="14" x14ac:dyDescent="0.3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" x14ac:dyDescent="0.3">
      <c r="A6" s="36" t="s">
        <v>48</v>
      </c>
      <c r="B6" s="100">
        <v>9.59</v>
      </c>
      <c r="C6" s="100">
        <v>158</v>
      </c>
      <c r="D6" s="100">
        <v>15.1</v>
      </c>
      <c r="E6" s="100">
        <v>16.2</v>
      </c>
      <c r="F6" s="100">
        <v>21.7</v>
      </c>
      <c r="G6" s="100">
        <v>8.15</v>
      </c>
      <c r="H6" s="1"/>
      <c r="I6" s="3"/>
      <c r="J6" s="3"/>
      <c r="K6" s="3"/>
    </row>
    <row r="7" spans="1:11" ht="14" x14ac:dyDescent="0.3">
      <c r="A7" s="36" t="s">
        <v>49</v>
      </c>
      <c r="B7" s="100">
        <v>11.3</v>
      </c>
      <c r="C7" s="100">
        <v>161</v>
      </c>
      <c r="D7" s="100">
        <v>23.3</v>
      </c>
      <c r="E7" s="100">
        <v>19.3</v>
      </c>
      <c r="F7" s="100">
        <v>22.5</v>
      </c>
      <c r="G7" s="100">
        <v>12.2</v>
      </c>
      <c r="H7" s="1"/>
      <c r="I7" s="3"/>
      <c r="J7" s="3"/>
      <c r="K7" s="3"/>
    </row>
    <row r="8" spans="1:11" ht="14" x14ac:dyDescent="0.3">
      <c r="A8" s="36" t="s">
        <v>60</v>
      </c>
      <c r="B8" s="100">
        <v>12.5</v>
      </c>
      <c r="C8" s="100">
        <v>260</v>
      </c>
      <c r="D8" s="100">
        <v>29.1</v>
      </c>
      <c r="E8" s="100">
        <v>24</v>
      </c>
      <c r="F8" s="100">
        <v>31.8</v>
      </c>
      <c r="G8" s="100">
        <v>13.9</v>
      </c>
      <c r="H8" s="1"/>
      <c r="I8" s="3"/>
      <c r="J8" s="3"/>
      <c r="K8" s="3"/>
    </row>
    <row r="9" spans="1:11" ht="14" x14ac:dyDescent="0.3">
      <c r="A9" s="36" t="s">
        <v>82</v>
      </c>
      <c r="B9" s="100">
        <v>14.4</v>
      </c>
      <c r="C9" s="100">
        <v>252</v>
      </c>
      <c r="D9" s="100">
        <v>25.4</v>
      </c>
      <c r="E9" s="100">
        <v>26.5</v>
      </c>
      <c r="F9" s="100">
        <v>30.1</v>
      </c>
      <c r="G9" s="100">
        <v>13.8</v>
      </c>
      <c r="H9" s="1"/>
      <c r="I9" s="3"/>
      <c r="J9" s="3"/>
      <c r="K9" s="3"/>
    </row>
    <row r="10" spans="1:11" ht="14" x14ac:dyDescent="0.3">
      <c r="A10" s="36" t="s">
        <v>89</v>
      </c>
      <c r="B10" s="100">
        <v>13</v>
      </c>
      <c r="C10" s="100">
        <v>246</v>
      </c>
      <c r="D10" s="100">
        <v>21.4</v>
      </c>
      <c r="E10" s="100">
        <v>20.6</v>
      </c>
      <c r="F10" s="100">
        <v>24.9</v>
      </c>
      <c r="G10" s="100">
        <v>13.8</v>
      </c>
      <c r="H10" s="1"/>
      <c r="I10" s="3"/>
      <c r="J10" s="3"/>
      <c r="K10" s="3"/>
    </row>
    <row r="11" spans="1:11" ht="14" x14ac:dyDescent="0.3">
      <c r="A11" s="36" t="s">
        <v>92</v>
      </c>
      <c r="B11" s="100">
        <v>10.1</v>
      </c>
      <c r="C11" s="100">
        <v>194</v>
      </c>
      <c r="D11" s="100">
        <v>21.7</v>
      </c>
      <c r="E11" s="100">
        <v>16.899999999999999</v>
      </c>
      <c r="F11" s="100">
        <v>22</v>
      </c>
      <c r="G11" s="100">
        <v>11.8</v>
      </c>
      <c r="H11" s="1"/>
      <c r="I11" s="3"/>
      <c r="J11" s="3"/>
      <c r="K11" s="3"/>
    </row>
    <row r="12" spans="1:11" ht="14" x14ac:dyDescent="0.3">
      <c r="A12" s="36" t="s">
        <v>93</v>
      </c>
      <c r="B12" s="100">
        <v>8.9499999999999993</v>
      </c>
      <c r="C12" s="100">
        <v>227</v>
      </c>
      <c r="D12" s="100">
        <v>19.600000000000001</v>
      </c>
      <c r="E12" s="100">
        <v>15.6</v>
      </c>
      <c r="F12" s="100">
        <v>19.3</v>
      </c>
      <c r="G12" s="100">
        <v>8.9499999999999993</v>
      </c>
      <c r="H12" s="1"/>
      <c r="I12" s="3"/>
      <c r="J12" s="3"/>
      <c r="K12" s="3"/>
    </row>
    <row r="13" spans="1:11" ht="14" x14ac:dyDescent="0.3">
      <c r="A13" s="36" t="s">
        <v>109</v>
      </c>
      <c r="B13" s="100">
        <v>9.4700000000000006</v>
      </c>
      <c r="C13" s="100">
        <v>195</v>
      </c>
      <c r="D13" s="100">
        <v>17.399999999999999</v>
      </c>
      <c r="E13" s="100">
        <v>16.600000000000001</v>
      </c>
      <c r="F13" s="100">
        <v>19.7</v>
      </c>
      <c r="G13" s="100">
        <v>8</v>
      </c>
      <c r="H13" s="1"/>
      <c r="I13" s="3"/>
      <c r="J13" s="3"/>
      <c r="K13" s="3"/>
    </row>
    <row r="14" spans="1:11" ht="14" x14ac:dyDescent="0.3">
      <c r="A14" s="36" t="s">
        <v>111</v>
      </c>
      <c r="B14" s="100">
        <v>9.33</v>
      </c>
      <c r="C14" s="100">
        <v>142</v>
      </c>
      <c r="D14" s="100">
        <v>17.2</v>
      </c>
      <c r="E14" s="100">
        <v>17.5</v>
      </c>
      <c r="F14" s="100">
        <v>22.9</v>
      </c>
      <c r="G14" s="100">
        <v>9.5299999999999994</v>
      </c>
      <c r="H14" s="1"/>
      <c r="I14" s="3"/>
      <c r="J14" s="3"/>
      <c r="K14" s="3"/>
    </row>
    <row r="15" spans="1:11" ht="14" x14ac:dyDescent="0.3">
      <c r="A15" s="36" t="s">
        <v>149</v>
      </c>
      <c r="B15" s="100">
        <v>8.48</v>
      </c>
      <c r="C15" s="100">
        <v>155</v>
      </c>
      <c r="D15" s="100">
        <v>17.399999999999999</v>
      </c>
      <c r="E15" s="100">
        <v>15.8</v>
      </c>
      <c r="F15" s="100">
        <v>21.5</v>
      </c>
      <c r="G15" s="100">
        <v>9.89</v>
      </c>
      <c r="H15" s="1"/>
      <c r="I15" s="7"/>
      <c r="J15" s="3"/>
      <c r="K15" s="3"/>
    </row>
    <row r="16" spans="1:11" ht="14" x14ac:dyDescent="0.3">
      <c r="A16" s="36" t="s">
        <v>154</v>
      </c>
      <c r="B16" s="100">
        <v>8.65</v>
      </c>
      <c r="C16" s="100">
        <v>160</v>
      </c>
      <c r="D16" s="100">
        <v>18.600000000000001</v>
      </c>
      <c r="E16" s="100">
        <v>14.75</v>
      </c>
      <c r="F16" s="100">
        <v>20.6</v>
      </c>
      <c r="G16" s="100">
        <v>8.85</v>
      </c>
      <c r="H16" s="1"/>
      <c r="I16" s="7"/>
      <c r="J16" s="3"/>
      <c r="K16" s="3"/>
    </row>
    <row r="17" spans="1:11" ht="14" x14ac:dyDescent="0.3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" x14ac:dyDescent="0.3">
      <c r="A18" s="63" t="s">
        <v>149</v>
      </c>
      <c r="B18" s="100"/>
      <c r="C18" s="100"/>
      <c r="D18" s="100"/>
      <c r="E18" s="100"/>
      <c r="F18" s="100"/>
      <c r="G18" s="100"/>
    </row>
    <row r="19" spans="1:11" ht="14" x14ac:dyDescent="0.3">
      <c r="A19" s="39" t="s">
        <v>64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" x14ac:dyDescent="0.3">
      <c r="A20" s="39" t="s">
        <v>51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" x14ac:dyDescent="0.3">
      <c r="A21" s="39" t="s">
        <v>52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" x14ac:dyDescent="0.3">
      <c r="A22" s="39" t="s">
        <v>53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" x14ac:dyDescent="0.3">
      <c r="A23" s="39" t="s">
        <v>54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" x14ac:dyDescent="0.3">
      <c r="A24" s="39" t="s">
        <v>55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" x14ac:dyDescent="0.3">
      <c r="A25" s="39" t="s">
        <v>56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" x14ac:dyDescent="0.3">
      <c r="A26" s="39" t="s">
        <v>57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" x14ac:dyDescent="0.3">
      <c r="A27" s="39" t="s">
        <v>58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" x14ac:dyDescent="0.3">
      <c r="A28" s="39" t="s">
        <v>59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" x14ac:dyDescent="0.3">
      <c r="A29" s="39" t="s">
        <v>61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" x14ac:dyDescent="0.3">
      <c r="A30" s="39" t="s">
        <v>62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" x14ac:dyDescent="0.3">
      <c r="A31" s="39"/>
      <c r="B31" s="100"/>
      <c r="C31" s="100"/>
      <c r="D31" s="100"/>
      <c r="E31" s="100"/>
      <c r="F31" s="100"/>
      <c r="G31" s="100"/>
    </row>
    <row r="32" spans="1:11" ht="14" x14ac:dyDescent="0.3">
      <c r="A32" s="63" t="s">
        <v>154</v>
      </c>
      <c r="B32" s="100"/>
      <c r="C32" s="100"/>
      <c r="D32" s="100"/>
      <c r="E32" s="100"/>
      <c r="F32" s="100"/>
      <c r="G32" s="100"/>
    </row>
    <row r="33" spans="1:7" ht="14" x14ac:dyDescent="0.3">
      <c r="A33" s="39" t="s">
        <v>64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" x14ac:dyDescent="0.3">
      <c r="A34" s="39" t="s">
        <v>51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" x14ac:dyDescent="0.3">
      <c r="A35" s="39" t="s">
        <v>52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" x14ac:dyDescent="0.3">
      <c r="A36" s="39" t="s">
        <v>53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" x14ac:dyDescent="0.3">
      <c r="A37" s="39" t="s">
        <v>54</v>
      </c>
      <c r="B37" s="100">
        <v>8.84</v>
      </c>
      <c r="C37" s="100">
        <v>183</v>
      </c>
      <c r="D37" s="100">
        <v>19.3</v>
      </c>
      <c r="E37" s="100">
        <v>16</v>
      </c>
      <c r="F37" s="100">
        <v>20.9</v>
      </c>
      <c r="G37" s="100">
        <v>8.99</v>
      </c>
    </row>
    <row r="38" spans="1:7" ht="14" x14ac:dyDescent="0.3">
      <c r="A38" s="35" t="s">
        <v>55</v>
      </c>
      <c r="B38" s="106">
        <v>8.59</v>
      </c>
      <c r="C38" s="106">
        <v>210</v>
      </c>
      <c r="D38" s="106">
        <v>20.2</v>
      </c>
      <c r="E38" s="106">
        <v>15.8</v>
      </c>
      <c r="F38" s="106">
        <v>20.5</v>
      </c>
      <c r="G38" s="106">
        <v>10.4</v>
      </c>
    </row>
    <row r="39" spans="1:7" ht="16.5" x14ac:dyDescent="0.3">
      <c r="A39" s="36" t="s">
        <v>127</v>
      </c>
      <c r="B39" s="36"/>
      <c r="C39" s="36"/>
      <c r="D39" s="36"/>
      <c r="E39" s="36"/>
      <c r="F39" s="36"/>
      <c r="G39" s="36"/>
    </row>
    <row r="40" spans="1:7" ht="14" x14ac:dyDescent="0.3">
      <c r="A40" s="36" t="s">
        <v>50</v>
      </c>
      <c r="B40" s="107"/>
      <c r="C40" s="107" t="s">
        <v>97</v>
      </c>
      <c r="D40" s="107"/>
      <c r="E40" s="107"/>
      <c r="F40" s="107"/>
      <c r="G40" s="107"/>
    </row>
    <row r="41" spans="1:7" ht="14.5" x14ac:dyDescent="0.35">
      <c r="A41" s="36" t="s">
        <v>128</v>
      </c>
      <c r="B41" s="36"/>
      <c r="C41" s="36"/>
      <c r="D41" s="36"/>
      <c r="E41" s="36"/>
      <c r="F41" s="36"/>
      <c r="G41" s="36"/>
    </row>
    <row r="42" spans="1:7" ht="14" x14ac:dyDescent="0.3">
      <c r="A42" s="40" t="s">
        <v>20</v>
      </c>
      <c r="B42" s="69">
        <f ca="1">NOW()</f>
        <v>43934.390529629629</v>
      </c>
      <c r="C42" s="36"/>
      <c r="D42" s="36"/>
      <c r="E42" s="36"/>
      <c r="F42" s="36"/>
      <c r="G42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2"/>
  <sheetViews>
    <sheetView showGridLines="0" topLeftCell="A16" zoomScaleNormal="100" workbookViewId="0">
      <selection activeCell="B19" sqref="B19:B30"/>
    </sheetView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5" customHeight="1" x14ac:dyDescent="0.3">
      <c r="A2" s="108" t="s">
        <v>11</v>
      </c>
      <c r="B2" s="78" t="s">
        <v>38</v>
      </c>
      <c r="C2" s="78" t="s">
        <v>13</v>
      </c>
      <c r="D2" s="78" t="s">
        <v>81</v>
      </c>
      <c r="E2" s="109" t="s">
        <v>46</v>
      </c>
      <c r="F2" s="109" t="s">
        <v>39</v>
      </c>
      <c r="G2" s="78" t="s">
        <v>43</v>
      </c>
      <c r="H2" s="78" t="s">
        <v>129</v>
      </c>
      <c r="I2" s="110" t="s">
        <v>42</v>
      </c>
    </row>
    <row r="3" spans="1:9" ht="15.65" customHeight="1" x14ac:dyDescent="0.3">
      <c r="A3" s="82" t="s">
        <v>12</v>
      </c>
      <c r="B3" s="43" t="s">
        <v>130</v>
      </c>
      <c r="C3" s="43" t="s">
        <v>131</v>
      </c>
      <c r="D3" s="43" t="s">
        <v>132</v>
      </c>
      <c r="E3" s="43" t="s">
        <v>132</v>
      </c>
      <c r="F3" s="43" t="s">
        <v>133</v>
      </c>
      <c r="G3" s="43" t="s">
        <v>134</v>
      </c>
      <c r="H3" s="43"/>
      <c r="I3" s="43" t="s">
        <v>135</v>
      </c>
    </row>
    <row r="4" spans="1:9" ht="14.5" x14ac:dyDescent="0.35">
      <c r="A4" s="36"/>
      <c r="B4" s="55" t="s">
        <v>98</v>
      </c>
      <c r="C4" s="111"/>
      <c r="D4" s="111"/>
      <c r="E4" s="111"/>
      <c r="F4" s="111"/>
      <c r="G4" s="111"/>
      <c r="H4" s="111"/>
      <c r="I4" s="111"/>
    </row>
    <row r="5" spans="1:9" ht="14" x14ac:dyDescent="0.3">
      <c r="A5" s="36"/>
      <c r="B5" s="36"/>
      <c r="C5" s="36"/>
      <c r="D5" s="36"/>
      <c r="E5" s="36"/>
      <c r="F5" s="36"/>
      <c r="G5" s="36"/>
      <c r="H5" s="36"/>
      <c r="I5" s="36"/>
    </row>
    <row r="6" spans="1:9" ht="14" x14ac:dyDescent="0.3">
      <c r="A6" s="36" t="s">
        <v>48</v>
      </c>
      <c r="B6" s="100">
        <v>35.950000000000003</v>
      </c>
      <c r="C6" s="100">
        <v>40.270000000000003</v>
      </c>
      <c r="D6" s="100">
        <v>52.8</v>
      </c>
      <c r="E6" s="100">
        <v>42.88</v>
      </c>
      <c r="F6" s="100">
        <v>59.62</v>
      </c>
      <c r="G6" s="100">
        <v>39.29</v>
      </c>
      <c r="H6" s="100">
        <v>31.99</v>
      </c>
      <c r="I6" s="100">
        <v>32.26</v>
      </c>
    </row>
    <row r="7" spans="1:9" ht="14" x14ac:dyDescent="0.3">
      <c r="A7" s="36" t="s">
        <v>49</v>
      </c>
      <c r="B7" s="100">
        <v>53.2</v>
      </c>
      <c r="C7" s="100">
        <v>54.5</v>
      </c>
      <c r="D7" s="100">
        <v>86.12</v>
      </c>
      <c r="E7" s="100">
        <v>58.68</v>
      </c>
      <c r="F7" s="100">
        <v>77.239999999999995</v>
      </c>
      <c r="G7" s="100">
        <v>60.76</v>
      </c>
      <c r="H7" s="100">
        <v>51.52</v>
      </c>
      <c r="I7" s="100">
        <v>51.34</v>
      </c>
    </row>
    <row r="8" spans="1:9" ht="14" x14ac:dyDescent="0.3">
      <c r="A8" s="36" t="s">
        <v>60</v>
      </c>
      <c r="B8" s="100">
        <v>51.9</v>
      </c>
      <c r="C8" s="100">
        <v>53.22</v>
      </c>
      <c r="D8" s="100">
        <v>83.2</v>
      </c>
      <c r="E8" s="100">
        <v>57.19</v>
      </c>
      <c r="F8" s="100">
        <v>100.15</v>
      </c>
      <c r="G8" s="100">
        <v>56.09</v>
      </c>
      <c r="H8" s="100">
        <v>48.11</v>
      </c>
      <c r="I8" s="100">
        <v>50.33</v>
      </c>
    </row>
    <row r="9" spans="1:9" ht="14" x14ac:dyDescent="0.3">
      <c r="A9" s="36" t="s">
        <v>82</v>
      </c>
      <c r="B9" s="100">
        <v>47.13</v>
      </c>
      <c r="C9" s="100">
        <v>48.6</v>
      </c>
      <c r="D9" s="100">
        <v>65.87</v>
      </c>
      <c r="E9" s="100">
        <v>56.17</v>
      </c>
      <c r="F9" s="100">
        <v>91.83</v>
      </c>
      <c r="G9" s="100">
        <v>46.66</v>
      </c>
      <c r="H9" s="100">
        <v>51.8</v>
      </c>
      <c r="I9" s="100">
        <v>43.24</v>
      </c>
    </row>
    <row r="10" spans="1:9" ht="14" x14ac:dyDescent="0.3">
      <c r="A10" s="36" t="s">
        <v>89</v>
      </c>
      <c r="B10" s="100">
        <v>38.229999999999997</v>
      </c>
      <c r="C10" s="100">
        <v>60.66</v>
      </c>
      <c r="D10" s="100">
        <v>59.12</v>
      </c>
      <c r="E10" s="100">
        <v>43.7</v>
      </c>
      <c r="F10" s="100">
        <v>68.23</v>
      </c>
      <c r="G10" s="100">
        <v>39.43</v>
      </c>
      <c r="H10" s="100">
        <v>43.93</v>
      </c>
      <c r="I10" s="100">
        <v>39.76</v>
      </c>
    </row>
    <row r="11" spans="1:9" ht="14" x14ac:dyDescent="0.3">
      <c r="A11" s="36" t="s">
        <v>92</v>
      </c>
      <c r="B11" s="100">
        <v>31.6</v>
      </c>
      <c r="C11" s="100">
        <v>45.74</v>
      </c>
      <c r="D11" s="100">
        <v>66.72</v>
      </c>
      <c r="E11" s="100">
        <v>37.81</v>
      </c>
      <c r="F11" s="100">
        <v>57.96</v>
      </c>
      <c r="G11" s="100">
        <v>37.479999999999997</v>
      </c>
      <c r="H11" s="100">
        <v>33.43</v>
      </c>
      <c r="I11" s="100">
        <v>31.36</v>
      </c>
    </row>
    <row r="12" spans="1:9" ht="14" x14ac:dyDescent="0.3">
      <c r="A12" s="36" t="s">
        <v>93</v>
      </c>
      <c r="B12" s="100">
        <v>29.86</v>
      </c>
      <c r="C12" s="100">
        <v>45.87</v>
      </c>
      <c r="D12" s="100">
        <v>57.81</v>
      </c>
      <c r="E12" s="100">
        <v>35.270000000000003</v>
      </c>
      <c r="F12" s="100">
        <v>58.26</v>
      </c>
      <c r="G12" s="100">
        <v>39.25</v>
      </c>
      <c r="H12" s="100">
        <v>32.229999999999997</v>
      </c>
      <c r="I12" s="100">
        <v>30.07</v>
      </c>
    </row>
    <row r="13" spans="1:9" ht="14" x14ac:dyDescent="0.3">
      <c r="A13" s="36" t="s">
        <v>109</v>
      </c>
      <c r="B13" s="100">
        <v>32.549999999999997</v>
      </c>
      <c r="C13" s="100">
        <v>40.92</v>
      </c>
      <c r="D13" s="100">
        <v>53.54</v>
      </c>
      <c r="E13" s="100">
        <v>38.729999999999997</v>
      </c>
      <c r="F13" s="100">
        <v>66.73</v>
      </c>
      <c r="G13" s="100">
        <v>37.43</v>
      </c>
      <c r="H13" s="100">
        <v>33.07</v>
      </c>
      <c r="I13" s="100">
        <v>34.75</v>
      </c>
    </row>
    <row r="14" spans="1:9" ht="14" x14ac:dyDescent="0.3">
      <c r="A14" s="36" t="s">
        <v>111</v>
      </c>
      <c r="B14" s="100">
        <v>30.04</v>
      </c>
      <c r="C14" s="100">
        <v>31.87</v>
      </c>
      <c r="D14" s="100">
        <v>54.57</v>
      </c>
      <c r="E14" s="100">
        <v>38.270000000000003</v>
      </c>
      <c r="F14" s="100">
        <v>66.72</v>
      </c>
      <c r="G14" s="100">
        <v>30.35</v>
      </c>
      <c r="H14" s="100">
        <v>34.159999999999997</v>
      </c>
      <c r="I14" s="100">
        <v>31.21</v>
      </c>
    </row>
    <row r="15" spans="1:9" ht="14" x14ac:dyDescent="0.3">
      <c r="A15" s="36" t="s">
        <v>149</v>
      </c>
      <c r="B15" s="100">
        <v>28.26</v>
      </c>
      <c r="C15" s="100">
        <v>35.14</v>
      </c>
      <c r="D15" s="100">
        <v>53.28</v>
      </c>
      <c r="E15" s="100">
        <v>36.090000000000003</v>
      </c>
      <c r="F15" s="100">
        <v>64.72</v>
      </c>
      <c r="G15" s="100">
        <v>26.93</v>
      </c>
      <c r="H15" s="100">
        <v>31.65</v>
      </c>
      <c r="I15" s="100">
        <v>33.11</v>
      </c>
    </row>
    <row r="16" spans="1:9" ht="16.5" x14ac:dyDescent="0.3">
      <c r="A16" s="36" t="s">
        <v>152</v>
      </c>
      <c r="B16" s="100">
        <v>30</v>
      </c>
      <c r="C16" s="100">
        <v>38</v>
      </c>
      <c r="D16" s="100">
        <v>64.5</v>
      </c>
      <c r="E16" s="100">
        <v>35.5</v>
      </c>
      <c r="F16" s="100">
        <v>62</v>
      </c>
      <c r="G16" s="100">
        <v>32</v>
      </c>
      <c r="H16" s="100">
        <v>33</v>
      </c>
      <c r="I16" s="100">
        <v>35.5</v>
      </c>
    </row>
    <row r="17" spans="1:9" ht="14" x14ac:dyDescent="0.3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" x14ac:dyDescent="0.3">
      <c r="A18" s="36" t="s">
        <v>149</v>
      </c>
      <c r="B18" s="100"/>
      <c r="C18" s="100"/>
      <c r="D18" s="100"/>
      <c r="E18" s="100"/>
      <c r="F18" s="100"/>
      <c r="G18" s="100"/>
      <c r="H18" s="100"/>
      <c r="I18" s="100"/>
    </row>
    <row r="19" spans="1:9" ht="14" x14ac:dyDescent="0.3">
      <c r="A19" s="39" t="s">
        <v>51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" x14ac:dyDescent="0.3">
      <c r="A20" s="39" t="s">
        <v>52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" x14ac:dyDescent="0.3">
      <c r="A21" s="39" t="s">
        <v>53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" x14ac:dyDescent="0.3">
      <c r="A22" s="39" t="s">
        <v>54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" x14ac:dyDescent="0.3">
      <c r="A23" s="39" t="s">
        <v>55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" x14ac:dyDescent="0.3">
      <c r="A24" s="39" t="s">
        <v>56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" x14ac:dyDescent="0.3">
      <c r="A25" s="39" t="s">
        <v>57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" x14ac:dyDescent="0.3">
      <c r="A26" s="39" t="s">
        <v>58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" x14ac:dyDescent="0.3">
      <c r="A27" s="39" t="s">
        <v>59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" x14ac:dyDescent="0.3">
      <c r="A28" s="39" t="s">
        <v>61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" x14ac:dyDescent="0.3">
      <c r="A29" s="39" t="s">
        <v>62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" x14ac:dyDescent="0.3">
      <c r="A30" s="39" t="s">
        <v>64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" x14ac:dyDescent="0.3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" x14ac:dyDescent="0.3">
      <c r="A32" s="36" t="s">
        <v>154</v>
      </c>
      <c r="B32" s="100"/>
      <c r="C32" s="100"/>
      <c r="D32" s="100"/>
      <c r="E32" s="100"/>
      <c r="F32" s="100"/>
      <c r="G32" s="100"/>
      <c r="H32" s="100"/>
      <c r="I32" s="100"/>
    </row>
    <row r="33" spans="1:9" ht="14" x14ac:dyDescent="0.3">
      <c r="A33" s="39" t="s">
        <v>51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" x14ac:dyDescent="0.3">
      <c r="A34" s="39" t="s">
        <v>52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" x14ac:dyDescent="0.3">
      <c r="A35" s="39" t="s">
        <v>53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" x14ac:dyDescent="0.3">
      <c r="A36" s="39" t="s">
        <v>54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" x14ac:dyDescent="0.3">
      <c r="A37" s="39" t="s">
        <v>55</v>
      </c>
      <c r="B37" s="100">
        <v>30.26</v>
      </c>
      <c r="C37" s="100">
        <v>38.5</v>
      </c>
      <c r="D37" s="100">
        <v>70</v>
      </c>
      <c r="E37" s="100">
        <v>35.5</v>
      </c>
      <c r="F37" s="100">
        <v>59</v>
      </c>
      <c r="G37" s="100">
        <v>36</v>
      </c>
      <c r="H37" s="100" t="s">
        <v>10</v>
      </c>
      <c r="I37" s="100">
        <v>38.21</v>
      </c>
    </row>
    <row r="38" spans="1:9" ht="14" x14ac:dyDescent="0.3">
      <c r="A38" s="35" t="s">
        <v>56</v>
      </c>
      <c r="B38" s="106">
        <v>27.04</v>
      </c>
      <c r="C38" s="106">
        <v>36.19</v>
      </c>
      <c r="D38" s="106">
        <v>76</v>
      </c>
      <c r="E38" s="106">
        <v>32.880000000000003</v>
      </c>
      <c r="F38" s="106">
        <v>59.75</v>
      </c>
      <c r="G38" s="106">
        <v>36.94</v>
      </c>
      <c r="H38" s="106" t="s">
        <v>10</v>
      </c>
      <c r="I38" s="106">
        <v>35.5</v>
      </c>
    </row>
    <row r="39" spans="1:9" ht="16.5" x14ac:dyDescent="0.3">
      <c r="A39" s="77" t="s">
        <v>145</v>
      </c>
      <c r="B39" s="113"/>
      <c r="C39" s="113"/>
      <c r="D39" s="113"/>
      <c r="E39" s="113"/>
      <c r="F39" s="113"/>
      <c r="G39" s="113"/>
      <c r="H39" s="113"/>
      <c r="I39" s="113"/>
    </row>
    <row r="40" spans="1:9" ht="16.5" x14ac:dyDescent="0.3">
      <c r="A40" s="36" t="s">
        <v>146</v>
      </c>
      <c r="B40" s="113"/>
      <c r="C40" s="113"/>
      <c r="D40" s="113"/>
      <c r="E40" s="113"/>
      <c r="F40" s="113"/>
      <c r="G40" s="113"/>
      <c r="H40" s="113"/>
      <c r="I40" s="113"/>
    </row>
    <row r="41" spans="1:9" ht="14.5" x14ac:dyDescent="0.35">
      <c r="A41" s="36" t="s">
        <v>136</v>
      </c>
      <c r="B41" s="36"/>
      <c r="C41" s="36"/>
      <c r="D41" s="36"/>
      <c r="E41" s="36"/>
      <c r="F41" s="113"/>
      <c r="G41" s="36"/>
      <c r="H41" s="36"/>
      <c r="I41" s="36"/>
    </row>
    <row r="42" spans="1:9" ht="14" x14ac:dyDescent="0.3">
      <c r="A42" s="40" t="s">
        <v>20</v>
      </c>
      <c r="B42" s="69">
        <f ca="1">NOW()</f>
        <v>43934.390529629629</v>
      </c>
      <c r="C42" s="36"/>
      <c r="D42" s="36"/>
      <c r="E42" s="36"/>
      <c r="F42" s="36"/>
      <c r="G42" s="36"/>
      <c r="H42" s="36"/>
      <c r="I42" s="36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H59" s="14"/>
      <c r="I59" s="14"/>
    </row>
    <row r="60" spans="3:9" ht="15.5" x14ac:dyDescent="0.35">
      <c r="C60" s="14"/>
      <c r="H60" s="14"/>
      <c r="I60" s="14"/>
    </row>
    <row r="61" spans="3:9" ht="15.5" x14ac:dyDescent="0.35">
      <c r="C61" s="14"/>
      <c r="F61" s="16"/>
      <c r="H61" s="14"/>
      <c r="I61" s="14"/>
    </row>
    <row r="62" spans="3:9" ht="15.5" x14ac:dyDescent="0.35">
      <c r="F62" s="16"/>
      <c r="H62" s="14"/>
      <c r="I62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4"/>
  <sheetViews>
    <sheetView showGridLines="0" topLeftCell="A19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5" t="s">
        <v>37</v>
      </c>
      <c r="B1" s="35"/>
      <c r="C1" s="35"/>
      <c r="D1" s="35"/>
      <c r="E1" s="35"/>
      <c r="F1" s="35"/>
      <c r="G1" s="35"/>
    </row>
    <row r="2" spans="1:8" ht="15.65" customHeight="1" x14ac:dyDescent="0.3">
      <c r="A2" s="39" t="s">
        <v>11</v>
      </c>
      <c r="B2" s="78" t="s">
        <v>38</v>
      </c>
      <c r="C2" s="114" t="s">
        <v>13</v>
      </c>
      <c r="D2" s="114" t="s">
        <v>81</v>
      </c>
      <c r="E2" s="114" t="s">
        <v>39</v>
      </c>
      <c r="F2" s="78" t="s">
        <v>40</v>
      </c>
      <c r="G2" s="38" t="s">
        <v>41</v>
      </c>
    </row>
    <row r="3" spans="1:8" ht="15.65" customHeight="1" x14ac:dyDescent="0.3">
      <c r="A3" s="35" t="s">
        <v>12</v>
      </c>
      <c r="B3" s="43" t="s">
        <v>137</v>
      </c>
      <c r="C3" s="43" t="s">
        <v>138</v>
      </c>
      <c r="D3" s="43" t="s">
        <v>139</v>
      </c>
      <c r="E3" s="43" t="s">
        <v>140</v>
      </c>
      <c r="F3" s="43" t="s">
        <v>141</v>
      </c>
      <c r="G3" s="43" t="s">
        <v>142</v>
      </c>
    </row>
    <row r="4" spans="1:8" ht="14.5" x14ac:dyDescent="0.35">
      <c r="A4" s="36"/>
      <c r="B4" s="55" t="s">
        <v>99</v>
      </c>
      <c r="C4" s="111"/>
      <c r="D4" s="111"/>
      <c r="E4" s="111"/>
      <c r="F4" s="111"/>
      <c r="G4" s="111"/>
    </row>
    <row r="5" spans="1:8" ht="14" x14ac:dyDescent="0.3">
      <c r="A5" s="36"/>
      <c r="B5" s="36"/>
      <c r="C5" s="36"/>
      <c r="D5" s="36"/>
      <c r="E5" s="36"/>
      <c r="F5" s="36"/>
      <c r="G5" s="36"/>
    </row>
    <row r="6" spans="1:8" ht="14" x14ac:dyDescent="0.3">
      <c r="A6" s="36" t="s">
        <v>48</v>
      </c>
      <c r="B6" s="100">
        <v>311.27</v>
      </c>
      <c r="C6" s="100">
        <v>220.9</v>
      </c>
      <c r="D6" s="100">
        <v>151.04</v>
      </c>
      <c r="E6" s="115" t="s">
        <v>10</v>
      </c>
      <c r="F6" s="100">
        <v>224.92</v>
      </c>
      <c r="G6" s="100">
        <v>209.23</v>
      </c>
      <c r="H6" s="16"/>
    </row>
    <row r="7" spans="1:8" ht="14" x14ac:dyDescent="0.3">
      <c r="A7" s="36" t="s">
        <v>49</v>
      </c>
      <c r="B7" s="100">
        <v>345.52</v>
      </c>
      <c r="C7" s="100">
        <v>273.83999999999997</v>
      </c>
      <c r="D7" s="100">
        <v>219.72</v>
      </c>
      <c r="E7" s="115" t="s">
        <v>10</v>
      </c>
      <c r="F7" s="100">
        <v>263.63</v>
      </c>
      <c r="G7" s="100">
        <v>240.65</v>
      </c>
      <c r="H7" s="16"/>
    </row>
    <row r="8" spans="1:8" ht="14" x14ac:dyDescent="0.3">
      <c r="A8" s="36" t="s">
        <v>60</v>
      </c>
      <c r="B8" s="100">
        <v>393.53</v>
      </c>
      <c r="C8" s="100">
        <v>275.13</v>
      </c>
      <c r="D8" s="100">
        <v>246.75</v>
      </c>
      <c r="E8" s="115" t="s">
        <v>10</v>
      </c>
      <c r="F8" s="100">
        <v>307.58999999999997</v>
      </c>
      <c r="G8" s="100">
        <v>265.68</v>
      </c>
      <c r="H8" s="16"/>
    </row>
    <row r="9" spans="1:8" ht="14" x14ac:dyDescent="0.3">
      <c r="A9" s="36" t="s">
        <v>82</v>
      </c>
      <c r="B9" s="100">
        <v>468.11</v>
      </c>
      <c r="C9" s="100">
        <v>331.52</v>
      </c>
      <c r="D9" s="100">
        <v>241.57</v>
      </c>
      <c r="E9" s="115" t="s">
        <v>10</v>
      </c>
      <c r="F9" s="100">
        <v>354.22</v>
      </c>
      <c r="G9" s="100">
        <v>329.31</v>
      </c>
      <c r="H9" s="16"/>
    </row>
    <row r="10" spans="1:8" ht="14" x14ac:dyDescent="0.3">
      <c r="A10" s="36" t="s">
        <v>89</v>
      </c>
      <c r="B10" s="100">
        <v>489.94</v>
      </c>
      <c r="C10" s="100">
        <v>377.71</v>
      </c>
      <c r="D10" s="100">
        <v>238.87</v>
      </c>
      <c r="E10" s="115" t="s">
        <v>10</v>
      </c>
      <c r="F10" s="100">
        <v>359.7</v>
      </c>
      <c r="G10" s="100">
        <v>337.23</v>
      </c>
      <c r="H10" s="16"/>
    </row>
    <row r="11" spans="1:8" ht="14" x14ac:dyDescent="0.3">
      <c r="A11" s="36" t="s">
        <v>92</v>
      </c>
      <c r="B11" s="100">
        <v>368.49</v>
      </c>
      <c r="C11" s="100">
        <v>304.27</v>
      </c>
      <c r="D11" s="100">
        <v>209.97</v>
      </c>
      <c r="E11" s="115" t="s">
        <v>10</v>
      </c>
      <c r="F11" s="100">
        <v>301.2</v>
      </c>
      <c r="G11" s="100">
        <v>256.58</v>
      </c>
      <c r="H11" s="16"/>
    </row>
    <row r="12" spans="1:8" ht="14" x14ac:dyDescent="0.3">
      <c r="A12" s="36" t="s">
        <v>93</v>
      </c>
      <c r="B12" s="100">
        <v>324.56</v>
      </c>
      <c r="C12" s="100">
        <v>261.19</v>
      </c>
      <c r="D12" s="100">
        <v>153.16999999999999</v>
      </c>
      <c r="E12" s="115" t="s">
        <v>10</v>
      </c>
      <c r="F12" s="100">
        <v>262.2</v>
      </c>
      <c r="G12" s="100">
        <v>260.23</v>
      </c>
    </row>
    <row r="13" spans="1:8" ht="14" x14ac:dyDescent="0.3">
      <c r="A13" s="36" t="s">
        <v>109</v>
      </c>
      <c r="B13" s="100">
        <v>316.88</v>
      </c>
      <c r="C13" s="100">
        <v>208.61</v>
      </c>
      <c r="D13" s="100">
        <v>145.1</v>
      </c>
      <c r="E13" s="115" t="s">
        <v>10</v>
      </c>
      <c r="F13" s="100">
        <v>267.94</v>
      </c>
      <c r="G13" s="100">
        <v>282.49</v>
      </c>
    </row>
    <row r="14" spans="1:8" ht="14" x14ac:dyDescent="0.3">
      <c r="A14" s="36" t="s">
        <v>111</v>
      </c>
      <c r="B14" s="100">
        <v>345.02</v>
      </c>
      <c r="C14" s="100">
        <v>260.88</v>
      </c>
      <c r="D14" s="100">
        <v>173.53</v>
      </c>
      <c r="E14" s="115" t="s">
        <v>10</v>
      </c>
      <c r="F14" s="100">
        <v>291.14999999999998</v>
      </c>
      <c r="G14" s="100">
        <v>239.15</v>
      </c>
    </row>
    <row r="15" spans="1:8" ht="14" x14ac:dyDescent="0.3">
      <c r="A15" s="36" t="s">
        <v>149</v>
      </c>
      <c r="B15" s="100">
        <v>308.27999999999997</v>
      </c>
      <c r="C15" s="100">
        <v>228.64</v>
      </c>
      <c r="D15" s="122">
        <v>164.16</v>
      </c>
      <c r="E15" s="115" t="s">
        <v>10</v>
      </c>
      <c r="F15" s="100">
        <v>272.38</v>
      </c>
      <c r="G15" s="100">
        <v>225.77</v>
      </c>
    </row>
    <row r="16" spans="1:8" ht="16.5" x14ac:dyDescent="0.3">
      <c r="A16" s="36" t="s">
        <v>152</v>
      </c>
      <c r="B16" s="100">
        <v>305</v>
      </c>
      <c r="C16" s="100">
        <v>245</v>
      </c>
      <c r="D16" s="122">
        <v>180</v>
      </c>
      <c r="E16" s="115" t="s">
        <v>10</v>
      </c>
      <c r="F16" s="100">
        <v>265</v>
      </c>
      <c r="G16" s="100">
        <v>240</v>
      </c>
    </row>
    <row r="17" spans="1:13" ht="14" x14ac:dyDescent="0.3">
      <c r="A17" s="116"/>
      <c r="B17" s="100"/>
      <c r="C17" s="100"/>
      <c r="D17" s="100"/>
      <c r="E17" s="115"/>
      <c r="F17" s="100"/>
      <c r="G17" s="100"/>
      <c r="H17" s="13"/>
    </row>
    <row r="18" spans="1:13" ht="14" x14ac:dyDescent="0.3">
      <c r="A18" s="36" t="s">
        <v>149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" x14ac:dyDescent="0.3">
      <c r="A19" s="116" t="s">
        <v>51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" x14ac:dyDescent="0.3">
      <c r="A20" s="116" t="s">
        <v>52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" x14ac:dyDescent="0.3">
      <c r="A21" s="36" t="s">
        <v>53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" x14ac:dyDescent="0.3">
      <c r="A22" s="36" t="s">
        <v>54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" x14ac:dyDescent="0.3">
      <c r="A23" s="36" t="s">
        <v>55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" x14ac:dyDescent="0.3">
      <c r="A24" s="36" t="s">
        <v>56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" x14ac:dyDescent="0.3">
      <c r="A25" s="36" t="s">
        <v>57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" x14ac:dyDescent="0.3">
      <c r="A26" s="36" t="s">
        <v>58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" x14ac:dyDescent="0.3">
      <c r="A27" s="36" t="s">
        <v>59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" x14ac:dyDescent="0.3">
      <c r="A28" s="36" t="s">
        <v>61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" x14ac:dyDescent="0.3">
      <c r="A29" s="36" t="s">
        <v>62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" x14ac:dyDescent="0.3">
      <c r="A30" s="36" t="s">
        <v>64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" x14ac:dyDescent="0.3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" x14ac:dyDescent="0.3">
      <c r="A32" s="36" t="s">
        <v>154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" x14ac:dyDescent="0.3">
      <c r="A33" s="36" t="s">
        <v>51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" x14ac:dyDescent="0.3">
      <c r="A34" s="36" t="s">
        <v>52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" x14ac:dyDescent="0.3">
      <c r="A35" s="36" t="s">
        <v>53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6" t="s">
        <v>54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" x14ac:dyDescent="0.3">
      <c r="A37" s="36" t="s">
        <v>55</v>
      </c>
      <c r="B37" s="100">
        <v>295.27999999999997</v>
      </c>
      <c r="C37" s="100">
        <v>250.63</v>
      </c>
      <c r="D37" s="100">
        <v>188.13</v>
      </c>
      <c r="E37" s="115" t="s">
        <v>10</v>
      </c>
      <c r="F37" s="100">
        <v>253.67</v>
      </c>
      <c r="G37" s="100">
        <v>262.5</v>
      </c>
      <c r="I37" s="6"/>
      <c r="J37" s="6"/>
      <c r="K37" s="6"/>
      <c r="L37" s="6"/>
      <c r="M37" s="6"/>
    </row>
    <row r="38" spans="1:13" ht="14" x14ac:dyDescent="0.3">
      <c r="A38" s="117" t="s">
        <v>56</v>
      </c>
      <c r="B38" s="106">
        <v>312.38</v>
      </c>
      <c r="C38" s="106">
        <v>259</v>
      </c>
      <c r="D38" s="106">
        <v>180</v>
      </c>
      <c r="E38" s="118" t="s">
        <v>10</v>
      </c>
      <c r="F38" s="106">
        <v>274.75</v>
      </c>
      <c r="G38" s="106">
        <v>263</v>
      </c>
      <c r="I38" s="6"/>
      <c r="J38" s="6"/>
      <c r="K38" s="6"/>
      <c r="L38" s="6"/>
      <c r="M38" s="6"/>
    </row>
    <row r="39" spans="1:13" ht="16.5" x14ac:dyDescent="0.3">
      <c r="A39" s="77" t="s">
        <v>147</v>
      </c>
      <c r="B39" s="119"/>
      <c r="C39" s="119"/>
      <c r="D39" s="119"/>
      <c r="E39" s="119"/>
      <c r="F39" s="119"/>
      <c r="G39" s="119"/>
      <c r="I39" s="11"/>
      <c r="J39" s="6"/>
      <c r="K39" s="6"/>
      <c r="L39" s="6"/>
      <c r="M39" s="6"/>
    </row>
    <row r="40" spans="1:13" ht="16.5" x14ac:dyDescent="0.3">
      <c r="A40" s="77" t="s">
        <v>143</v>
      </c>
      <c r="B40" s="120"/>
      <c r="C40" s="120"/>
      <c r="D40" s="120"/>
      <c r="E40" s="120"/>
      <c r="F40" s="120"/>
      <c r="G40" s="120"/>
      <c r="I40" s="11"/>
      <c r="J40" s="6"/>
      <c r="K40" s="6"/>
      <c r="L40" s="6"/>
      <c r="M40" s="6"/>
    </row>
    <row r="41" spans="1:13" ht="14" x14ac:dyDescent="0.3">
      <c r="A41" s="36" t="s">
        <v>50</v>
      </c>
      <c r="B41" s="120"/>
      <c r="C41" s="120"/>
      <c r="D41" s="120"/>
      <c r="E41" s="120"/>
      <c r="F41" s="120"/>
      <c r="G41" s="120"/>
      <c r="H41" s="1"/>
      <c r="I41" s="11"/>
      <c r="J41" s="6"/>
      <c r="K41" s="6"/>
      <c r="L41" s="6"/>
      <c r="M41" s="6"/>
    </row>
    <row r="42" spans="1:13" ht="14.5" x14ac:dyDescent="0.35">
      <c r="A42" s="36" t="s">
        <v>144</v>
      </c>
      <c r="B42" s="36"/>
      <c r="C42" s="36"/>
      <c r="D42" s="36"/>
      <c r="E42" s="36"/>
      <c r="F42" s="36"/>
      <c r="G42" s="36"/>
      <c r="I42" s="11"/>
      <c r="J42" s="6"/>
      <c r="K42" s="6"/>
      <c r="L42" s="6"/>
      <c r="M42" s="6"/>
    </row>
    <row r="43" spans="1:13" ht="14" x14ac:dyDescent="0.3">
      <c r="A43" s="40" t="s">
        <v>20</v>
      </c>
      <c r="B43" s="69">
        <f ca="1">NOW()</f>
        <v>43934.390529629629</v>
      </c>
      <c r="C43" s="36"/>
      <c r="D43" s="36"/>
      <c r="E43" s="36"/>
      <c r="F43" s="36"/>
      <c r="G43" s="36"/>
      <c r="I43" s="12"/>
      <c r="J43" s="8"/>
      <c r="K43" s="8"/>
      <c r="L43" s="8"/>
      <c r="M43" s="8"/>
    </row>
    <row r="44" spans="1:13" ht="15.5" x14ac:dyDescent="0.35">
      <c r="F44" s="14"/>
      <c r="I44" s="12"/>
      <c r="J44" s="8"/>
      <c r="K44" s="8"/>
      <c r="L44" s="8"/>
      <c r="M44" s="8"/>
    </row>
    <row r="45" spans="1:13" x14ac:dyDescent="0.25">
      <c r="I45" s="11"/>
      <c r="J45" s="11"/>
      <c r="K45" s="6"/>
      <c r="L45" s="6"/>
      <c r="M45" s="6"/>
    </row>
    <row r="46" spans="1:13" x14ac:dyDescent="0.25">
      <c r="I46" s="11"/>
      <c r="J46" s="11"/>
      <c r="K46" s="6"/>
      <c r="L46" s="6"/>
      <c r="M46" s="6"/>
    </row>
    <row r="47" spans="1:13" x14ac:dyDescent="0.25"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0" spans="9:13" x14ac:dyDescent="0.25">
      <c r="I50" s="11"/>
      <c r="J50" s="11"/>
      <c r="K50" s="6"/>
      <c r="L50" s="6"/>
      <c r="M50" s="6"/>
    </row>
    <row r="52" spans="9:13" x14ac:dyDescent="0.25">
      <c r="I52" s="9"/>
      <c r="J52" s="9"/>
      <c r="K52" s="9"/>
      <c r="L52" s="9"/>
      <c r="M52" s="9"/>
    </row>
    <row r="53" spans="9:13" x14ac:dyDescent="0.25">
      <c r="I53" s="9"/>
      <c r="J53" s="9"/>
      <c r="K53" s="9"/>
      <c r="L53" s="9"/>
      <c r="M53" s="9"/>
    </row>
    <row r="54" spans="9:13" x14ac:dyDescent="0.25">
      <c r="J54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58"/>
  <sheetViews>
    <sheetView zoomScaleNormal="100" workbookViewId="0"/>
  </sheetViews>
  <sheetFormatPr defaultRowHeight="12.5" x14ac:dyDescent="0.25"/>
  <cols>
    <col min="1" max="1" width="10.7265625" style="124" customWidth="1"/>
    <col min="2" max="4" width="10.54296875" customWidth="1"/>
  </cols>
  <sheetData>
    <row r="1" spans="1:5" ht="14" x14ac:dyDescent="0.3">
      <c r="A1" s="142" t="s">
        <v>217</v>
      </c>
      <c r="B1" s="36" t="s">
        <v>109</v>
      </c>
      <c r="C1" s="36" t="s">
        <v>111</v>
      </c>
      <c r="D1" s="36" t="s">
        <v>149</v>
      </c>
      <c r="E1" s="36" t="s">
        <v>154</v>
      </c>
    </row>
    <row r="2" spans="1:5" x14ac:dyDescent="0.25">
      <c r="A2" s="142" t="s">
        <v>218</v>
      </c>
    </row>
    <row r="3" spans="1:5" x14ac:dyDescent="0.25">
      <c r="A3" s="142" t="s">
        <v>219</v>
      </c>
    </row>
    <row r="4" spans="1:5" x14ac:dyDescent="0.25">
      <c r="A4" s="166" t="s">
        <v>237</v>
      </c>
      <c r="B4" s="163">
        <v>22.316700000000001</v>
      </c>
      <c r="C4" s="163">
        <v>15.8423</v>
      </c>
      <c r="D4" s="163">
        <v>16.119</v>
      </c>
      <c r="E4" s="163">
        <v>9.0332000000000008</v>
      </c>
    </row>
    <row r="5" spans="1:5" x14ac:dyDescent="0.25">
      <c r="A5" s="166" t="s">
        <v>238</v>
      </c>
      <c r="B5" s="163">
        <v>22.402099999999997</v>
      </c>
      <c r="C5" s="163">
        <v>17.235599999999998</v>
      </c>
      <c r="D5" s="163">
        <v>16.235600000000002</v>
      </c>
      <c r="E5" s="163">
        <v>10.0594</v>
      </c>
    </row>
    <row r="6" spans="1:5" x14ac:dyDescent="0.25">
      <c r="A6" s="166" t="s">
        <v>239</v>
      </c>
      <c r="B6" s="163">
        <v>23.700700000000001</v>
      </c>
      <c r="C6" s="163">
        <v>19.232900000000001</v>
      </c>
      <c r="D6" s="163">
        <v>16.287200000000002</v>
      </c>
      <c r="E6" s="163">
        <v>10.1464</v>
      </c>
    </row>
    <row r="7" spans="1:5" x14ac:dyDescent="0.25">
      <c r="A7" s="166" t="s">
        <v>240</v>
      </c>
      <c r="B7" s="163">
        <v>24.853400000000001</v>
      </c>
      <c r="C7" s="163">
        <v>19.263099999999998</v>
      </c>
      <c r="D7" s="163">
        <v>17.087900000000001</v>
      </c>
      <c r="E7" s="163">
        <v>11.305200000000001</v>
      </c>
    </row>
    <row r="8" spans="1:5" x14ac:dyDescent="0.25">
      <c r="A8" s="166" t="s">
        <v>169</v>
      </c>
      <c r="B8" s="163">
        <v>24.711599999999997</v>
      </c>
      <c r="C8" s="163">
        <v>19.8202</v>
      </c>
      <c r="D8" s="163">
        <v>16.643099999999997</v>
      </c>
      <c r="E8" s="163">
        <v>12.359200000000001</v>
      </c>
    </row>
    <row r="9" spans="1:5" x14ac:dyDescent="0.25">
      <c r="A9" s="166" t="s">
        <v>170</v>
      </c>
      <c r="B9" s="163">
        <v>24.0488</v>
      </c>
      <c r="C9" s="163">
        <v>19.2453</v>
      </c>
      <c r="D9" s="163">
        <v>15.779200000000001</v>
      </c>
      <c r="E9" s="163">
        <v>13.004100000000001</v>
      </c>
    </row>
    <row r="10" spans="1:5" x14ac:dyDescent="0.25">
      <c r="A10" s="166" t="s">
        <v>171</v>
      </c>
      <c r="B10" s="163">
        <v>23.285599999999999</v>
      </c>
      <c r="C10" s="163">
        <v>18.852</v>
      </c>
      <c r="D10" s="163">
        <v>14.881500000000001</v>
      </c>
      <c r="E10" s="163">
        <v>12.096399999999999</v>
      </c>
    </row>
    <row r="11" spans="1:5" x14ac:dyDescent="0.25">
      <c r="A11" s="166" t="s">
        <v>172</v>
      </c>
      <c r="B11" s="163">
        <v>22.8672</v>
      </c>
      <c r="C11" s="163">
        <v>18.1311</v>
      </c>
      <c r="D11" s="163">
        <v>13.963899999999999</v>
      </c>
      <c r="E11" s="163">
        <v>11.316700000000001</v>
      </c>
    </row>
    <row r="12" spans="1:5" x14ac:dyDescent="0.25">
      <c r="A12" s="166" t="s">
        <v>173</v>
      </c>
      <c r="B12" s="163">
        <v>21.0777</v>
      </c>
      <c r="C12" s="163">
        <v>16.7715</v>
      </c>
      <c r="D12" s="163">
        <v>13.216100000000001</v>
      </c>
      <c r="E12" s="163">
        <v>11.5646</v>
      </c>
    </row>
    <row r="13" spans="1:5" x14ac:dyDescent="0.25">
      <c r="A13" s="166" t="s">
        <v>174</v>
      </c>
      <c r="B13" s="163">
        <v>19.462299999999999</v>
      </c>
      <c r="C13" s="163">
        <v>15.6204</v>
      </c>
      <c r="D13" s="163">
        <v>12.328700000000001</v>
      </c>
      <c r="E13" s="163">
        <v>11.543100000000001</v>
      </c>
    </row>
    <row r="14" spans="1:5" x14ac:dyDescent="0.25">
      <c r="A14" s="166" t="s">
        <v>175</v>
      </c>
      <c r="B14" s="163">
        <v>18.552700000000002</v>
      </c>
      <c r="C14" s="163">
        <v>14.564</v>
      </c>
      <c r="D14" s="163">
        <v>11.736700000000001</v>
      </c>
      <c r="E14" s="163">
        <v>11.352399999999999</v>
      </c>
    </row>
    <row r="15" spans="1:5" x14ac:dyDescent="0.25">
      <c r="A15" s="166" t="s">
        <v>176</v>
      </c>
      <c r="B15" s="163">
        <v>17.568099999999998</v>
      </c>
      <c r="C15" s="163">
        <v>13.303799999999999</v>
      </c>
      <c r="D15" s="163">
        <v>11.342000000000001</v>
      </c>
      <c r="E15" s="163">
        <v>10.770700000000001</v>
      </c>
    </row>
    <row r="16" spans="1:5" x14ac:dyDescent="0.25">
      <c r="A16" s="166" t="s">
        <v>177</v>
      </c>
      <c r="B16" s="163">
        <v>17.1601</v>
      </c>
      <c r="C16" s="163">
        <v>13.301500000000001</v>
      </c>
      <c r="D16" s="163">
        <v>10.980799999999999</v>
      </c>
      <c r="E16" s="163">
        <v>9.9562999999999988</v>
      </c>
    </row>
    <row r="17" spans="1:5" x14ac:dyDescent="0.25">
      <c r="A17" s="166" t="s">
        <v>178</v>
      </c>
      <c r="B17" s="163">
        <v>17.278500000000001</v>
      </c>
      <c r="C17" s="163">
        <v>13.492799999999999</v>
      </c>
      <c r="D17" s="163">
        <v>10.626299999999999</v>
      </c>
      <c r="E17" s="163">
        <v>9.5632999999999999</v>
      </c>
    </row>
    <row r="18" spans="1:5" x14ac:dyDescent="0.25">
      <c r="A18" s="166" t="s">
        <v>179</v>
      </c>
      <c r="B18" s="163">
        <v>17.289300000000001</v>
      </c>
      <c r="C18" s="163">
        <v>13.695799999999998</v>
      </c>
      <c r="D18" s="163">
        <v>12.1241</v>
      </c>
      <c r="E18" s="163">
        <v>9.5881000000000007</v>
      </c>
    </row>
    <row r="19" spans="1:5" x14ac:dyDescent="0.25">
      <c r="A19" s="166" t="s">
        <v>180</v>
      </c>
      <c r="B19" s="163">
        <v>16.3718</v>
      </c>
      <c r="C19" s="163">
        <v>13.260899999999999</v>
      </c>
      <c r="D19" s="163">
        <v>13.904399999999999</v>
      </c>
      <c r="E19" s="163">
        <v>9.3169000000000004</v>
      </c>
    </row>
    <row r="20" spans="1:5" x14ac:dyDescent="0.25">
      <c r="A20" s="166" t="s">
        <v>181</v>
      </c>
      <c r="B20" s="163">
        <v>14.869299999999999</v>
      </c>
      <c r="C20" s="163">
        <v>12.667</v>
      </c>
      <c r="D20" s="163">
        <v>14.0372</v>
      </c>
      <c r="E20" s="163">
        <v>8.5707999999999984</v>
      </c>
    </row>
    <row r="21" spans="1:5" x14ac:dyDescent="0.25">
      <c r="A21" s="166" t="s">
        <v>182</v>
      </c>
      <c r="B21" s="163">
        <v>13.786100000000001</v>
      </c>
      <c r="C21" s="163">
        <v>11.728200000000001</v>
      </c>
      <c r="D21" s="163">
        <v>12.517299999999999</v>
      </c>
      <c r="E21" s="163">
        <v>7.8075000000000001</v>
      </c>
    </row>
    <row r="22" spans="1:5" x14ac:dyDescent="0.25">
      <c r="A22" s="166" t="s">
        <v>183</v>
      </c>
      <c r="B22" s="163">
        <v>13.186500000000001</v>
      </c>
      <c r="C22" s="163">
        <v>11.789899999999999</v>
      </c>
      <c r="D22" s="163">
        <v>12.7173</v>
      </c>
      <c r="E22" s="163">
        <v>7.2406000000000006</v>
      </c>
    </row>
    <row r="23" spans="1:5" x14ac:dyDescent="0.25">
      <c r="A23" s="166" t="s">
        <v>184</v>
      </c>
      <c r="B23" s="163">
        <v>12.4643</v>
      </c>
      <c r="C23" s="163">
        <v>11.162600000000001</v>
      </c>
      <c r="D23" s="163">
        <v>12.917299999999999</v>
      </c>
      <c r="E23" s="163">
        <v>6.9775</v>
      </c>
    </row>
    <row r="24" spans="1:5" x14ac:dyDescent="0.25">
      <c r="A24" s="166" t="s">
        <v>185</v>
      </c>
      <c r="B24" s="163">
        <v>11.5633</v>
      </c>
      <c r="C24" s="163">
        <v>10.3019</v>
      </c>
      <c r="D24" s="163">
        <v>13.117299999999998</v>
      </c>
      <c r="E24" s="163">
        <v>6.2158999999999995</v>
      </c>
    </row>
    <row r="25" spans="1:5" x14ac:dyDescent="0.25">
      <c r="A25" s="166" t="s">
        <v>186</v>
      </c>
      <c r="B25" s="163">
        <v>10.457799999999999</v>
      </c>
      <c r="C25" s="163">
        <v>9.5079999999999991</v>
      </c>
      <c r="D25" s="163">
        <v>13.317299999999999</v>
      </c>
      <c r="E25" s="163">
        <v>5.4714</v>
      </c>
    </row>
    <row r="26" spans="1:5" x14ac:dyDescent="0.25">
      <c r="A26" s="166" t="s">
        <v>187</v>
      </c>
      <c r="B26" s="163">
        <v>10.2096</v>
      </c>
      <c r="C26" s="163">
        <v>8.7731000000000012</v>
      </c>
      <c r="D26" s="163">
        <v>13.517299999999999</v>
      </c>
      <c r="E26" s="163">
        <v>5.5048999999999992</v>
      </c>
    </row>
    <row r="27" spans="1:5" x14ac:dyDescent="0.25">
      <c r="A27" s="166" t="s">
        <v>188</v>
      </c>
      <c r="B27" s="163">
        <v>9.5691000000000006</v>
      </c>
      <c r="C27" s="163">
        <v>7.7701000000000002</v>
      </c>
      <c r="D27" s="163">
        <v>13.4587</v>
      </c>
      <c r="E27" s="163">
        <v>5.0413999999999994</v>
      </c>
    </row>
    <row r="28" spans="1:5" x14ac:dyDescent="0.25">
      <c r="A28" s="166" t="s">
        <v>189</v>
      </c>
      <c r="B28" s="163">
        <v>9.0091999999999999</v>
      </c>
      <c r="C28" s="163">
        <v>7.726</v>
      </c>
      <c r="D28" s="163">
        <v>13.383899999999999</v>
      </c>
      <c r="E28" s="163">
        <v>4.7827999999999999</v>
      </c>
    </row>
    <row r="29" spans="1:5" x14ac:dyDescent="0.25">
      <c r="A29" s="166" t="s">
        <v>190</v>
      </c>
      <c r="B29" s="163">
        <v>8.5117999999999991</v>
      </c>
      <c r="C29" s="163">
        <v>9.2378999999999998</v>
      </c>
      <c r="D29" s="163">
        <v>12.7125</v>
      </c>
      <c r="E29" s="163">
        <v>4.4323000000000006</v>
      </c>
    </row>
    <row r="30" spans="1:5" x14ac:dyDescent="0.25">
      <c r="A30" s="166" t="s">
        <v>191</v>
      </c>
      <c r="B30" s="163">
        <v>8.1346000000000007</v>
      </c>
      <c r="C30" s="163">
        <v>9.6074999999999999</v>
      </c>
      <c r="D30" s="163">
        <v>13.804500000000001</v>
      </c>
      <c r="E30" s="163">
        <v>4.1675000000000004</v>
      </c>
    </row>
    <row r="31" spans="1:5" x14ac:dyDescent="0.25">
      <c r="A31" s="166" t="s">
        <v>192</v>
      </c>
      <c r="B31" s="163">
        <v>8.2967999999999993</v>
      </c>
      <c r="C31" s="163">
        <v>9.8178000000000001</v>
      </c>
      <c r="D31" s="163">
        <v>13.1889</v>
      </c>
      <c r="E31" s="163">
        <v>4.3156999999999996</v>
      </c>
    </row>
    <row r="32" spans="1:5" x14ac:dyDescent="0.25">
      <c r="A32" s="166" t="s">
        <v>193</v>
      </c>
      <c r="B32" s="163">
        <v>8.0263000000000009</v>
      </c>
      <c r="C32" s="163">
        <v>9.3523999999999994</v>
      </c>
      <c r="D32" s="163">
        <v>12.429500000000001</v>
      </c>
      <c r="E32" s="163">
        <v>4.6128999999999998</v>
      </c>
    </row>
    <row r="33" spans="1:5" x14ac:dyDescent="0.25">
      <c r="A33" s="166" t="s">
        <v>194</v>
      </c>
      <c r="B33" s="163">
        <v>7.7534999999999998</v>
      </c>
      <c r="C33" s="163">
        <v>9.9057000000000013</v>
      </c>
      <c r="D33" s="163">
        <v>13.635899999999999</v>
      </c>
      <c r="E33" s="163">
        <v>5.1020000000000003</v>
      </c>
    </row>
    <row r="34" spans="1:5" x14ac:dyDescent="0.25">
      <c r="A34" s="166" t="s">
        <v>195</v>
      </c>
      <c r="B34" s="163">
        <v>7.3501000000000003</v>
      </c>
      <c r="C34" s="163">
        <v>10.996499999999999</v>
      </c>
      <c r="D34" s="163">
        <v>13.016500000000001</v>
      </c>
      <c r="E34" s="163">
        <v>5.2633999999999999</v>
      </c>
    </row>
    <row r="35" spans="1:5" x14ac:dyDescent="0.25">
      <c r="A35" s="166" t="s">
        <v>196</v>
      </c>
      <c r="B35" s="163">
        <v>7.1301999999999994</v>
      </c>
      <c r="C35" s="163">
        <v>11.634799999999998</v>
      </c>
      <c r="D35" s="163">
        <v>12.9278</v>
      </c>
      <c r="E35" s="163"/>
    </row>
    <row r="36" spans="1:5" x14ac:dyDescent="0.25">
      <c r="A36" s="166" t="s">
        <v>197</v>
      </c>
      <c r="B36" s="163">
        <v>7.1561000000000003</v>
      </c>
      <c r="C36" s="163">
        <v>11.5601</v>
      </c>
      <c r="D36" s="163">
        <v>13.1281</v>
      </c>
      <c r="E36" s="163"/>
    </row>
    <row r="37" spans="1:5" x14ac:dyDescent="0.25">
      <c r="A37" s="166" t="s">
        <v>198</v>
      </c>
      <c r="B37" s="163">
        <v>6.8342000000000001</v>
      </c>
      <c r="C37" s="163">
        <v>11.2851</v>
      </c>
      <c r="D37" s="163">
        <v>12.8743</v>
      </c>
      <c r="E37" s="163"/>
    </row>
    <row r="38" spans="1:5" x14ac:dyDescent="0.25">
      <c r="A38" s="166" t="s">
        <v>199</v>
      </c>
      <c r="B38" s="163">
        <v>6.8696000000000002</v>
      </c>
      <c r="C38" s="163">
        <v>11.1675</v>
      </c>
      <c r="D38" s="163">
        <v>12.118399999999999</v>
      </c>
      <c r="E38" s="163"/>
    </row>
    <row r="39" spans="1:5" x14ac:dyDescent="0.25">
      <c r="A39" s="166" t="s">
        <v>200</v>
      </c>
      <c r="B39" s="163">
        <v>6.8793999999999995</v>
      </c>
      <c r="C39" s="163">
        <v>10.794799999999999</v>
      </c>
      <c r="D39" s="163">
        <v>11.873200000000001</v>
      </c>
      <c r="E39" s="163"/>
    </row>
    <row r="40" spans="1:5" x14ac:dyDescent="0.25">
      <c r="A40" s="166" t="s">
        <v>201</v>
      </c>
      <c r="B40" s="163">
        <v>7.0175000000000001</v>
      </c>
      <c r="C40" s="163">
        <v>9.7515000000000001</v>
      </c>
      <c r="D40" s="163">
        <v>11.838200000000001</v>
      </c>
      <c r="E40" s="163"/>
    </row>
    <row r="41" spans="1:5" x14ac:dyDescent="0.25">
      <c r="A41" s="166" t="s">
        <v>202</v>
      </c>
      <c r="B41" s="163">
        <v>7.2818999999999994</v>
      </c>
      <c r="C41" s="163">
        <v>9.3772000000000002</v>
      </c>
      <c r="D41" s="163">
        <v>11.824999999999999</v>
      </c>
      <c r="E41" s="163"/>
    </row>
    <row r="42" spans="1:5" x14ac:dyDescent="0.25">
      <c r="A42" s="166" t="s">
        <v>203</v>
      </c>
      <c r="B42" s="163">
        <v>7.1215000000000002</v>
      </c>
      <c r="C42" s="163">
        <v>9.0259</v>
      </c>
      <c r="D42" s="163">
        <v>11.769200000000001</v>
      </c>
      <c r="E42" s="163"/>
    </row>
    <row r="43" spans="1:5" x14ac:dyDescent="0.25">
      <c r="A43" s="166" t="s">
        <v>204</v>
      </c>
      <c r="B43" s="163">
        <v>6.9726999999999997</v>
      </c>
      <c r="C43" s="163">
        <v>8.9481000000000002</v>
      </c>
      <c r="D43" s="163">
        <v>11.2661</v>
      </c>
      <c r="E43" s="163"/>
    </row>
    <row r="44" spans="1:5" x14ac:dyDescent="0.25">
      <c r="A44" s="166" t="s">
        <v>205</v>
      </c>
      <c r="B44" s="163">
        <v>6.7877000000000001</v>
      </c>
      <c r="C44" s="163">
        <v>8.2577999999999996</v>
      </c>
      <c r="D44" s="163">
        <v>11.101100000000001</v>
      </c>
      <c r="E44" s="163"/>
    </row>
    <row r="45" spans="1:5" x14ac:dyDescent="0.25">
      <c r="A45" s="166" t="s">
        <v>206</v>
      </c>
      <c r="B45" s="163">
        <v>6.7558999999999996</v>
      </c>
      <c r="C45" s="163">
        <v>8.1158000000000001</v>
      </c>
      <c r="D45" s="163">
        <v>10.5442</v>
      </c>
      <c r="E45" s="163"/>
    </row>
    <row r="46" spans="1:5" x14ac:dyDescent="0.25">
      <c r="A46" s="166" t="s">
        <v>207</v>
      </c>
      <c r="B46" s="163">
        <v>6.8428000000000004</v>
      </c>
      <c r="C46" s="163">
        <v>7.7396000000000003</v>
      </c>
      <c r="D46" s="163">
        <v>10.620100000000001</v>
      </c>
      <c r="E46" s="163"/>
    </row>
    <row r="47" spans="1:5" x14ac:dyDescent="0.25">
      <c r="A47" s="166" t="s">
        <v>208</v>
      </c>
      <c r="B47" s="163">
        <v>6.6633999999999993</v>
      </c>
      <c r="C47" s="163">
        <v>7.1646999999999998</v>
      </c>
      <c r="D47" s="163">
        <v>10.059899999999999</v>
      </c>
      <c r="E47" s="163"/>
    </row>
    <row r="48" spans="1:5" x14ac:dyDescent="0.25">
      <c r="A48" s="166" t="s">
        <v>209</v>
      </c>
      <c r="B48" s="163">
        <v>6.7149999999999999</v>
      </c>
      <c r="C48" s="163">
        <v>6.8117999999999999</v>
      </c>
      <c r="D48" s="163">
        <v>9.2787999999999986</v>
      </c>
      <c r="E48" s="163"/>
    </row>
    <row r="49" spans="1:5" x14ac:dyDescent="0.25">
      <c r="A49" s="166" t="s">
        <v>210</v>
      </c>
      <c r="B49" s="163">
        <v>6.4447000000000001</v>
      </c>
      <c r="C49" s="163">
        <v>6.5263999999999998</v>
      </c>
      <c r="D49" s="163">
        <v>8.5631000000000004</v>
      </c>
      <c r="E49" s="163"/>
    </row>
    <row r="50" spans="1:5" x14ac:dyDescent="0.25">
      <c r="A50" s="166" t="s">
        <v>211</v>
      </c>
      <c r="B50" s="163">
        <v>5.9645000000000001</v>
      </c>
      <c r="C50" s="163">
        <v>5.7636000000000003</v>
      </c>
      <c r="D50" s="163">
        <v>7.7848999999999995</v>
      </c>
      <c r="E50" s="163"/>
    </row>
    <row r="51" spans="1:5" x14ac:dyDescent="0.25">
      <c r="A51" s="166" t="s">
        <v>212</v>
      </c>
      <c r="B51" s="163">
        <v>5.3973000000000004</v>
      </c>
      <c r="C51" s="163">
        <v>5.1707999999999998</v>
      </c>
      <c r="D51" s="163">
        <v>6.8693999999999997</v>
      </c>
      <c r="E51" s="163"/>
    </row>
    <row r="52" spans="1:5" x14ac:dyDescent="0.25">
      <c r="A52" s="166" t="s">
        <v>213</v>
      </c>
      <c r="B52" s="163">
        <v>5.1076999999999995</v>
      </c>
      <c r="C52" s="163">
        <v>4.7176999999999998</v>
      </c>
      <c r="D52" s="163">
        <v>5.6478999999999999</v>
      </c>
      <c r="E52" s="163"/>
    </row>
    <row r="53" spans="1:5" x14ac:dyDescent="0.25">
      <c r="A53" s="166" t="s">
        <v>214</v>
      </c>
      <c r="B53" s="163">
        <v>4.0059000000000005</v>
      </c>
      <c r="C53" s="163">
        <v>4.2438000000000002</v>
      </c>
      <c r="D53" s="163">
        <v>4.4992999999999999</v>
      </c>
      <c r="E53" s="163"/>
    </row>
    <row r="54" spans="1:5" x14ac:dyDescent="0.25">
      <c r="A54" s="166" t="s">
        <v>215</v>
      </c>
      <c r="B54" s="163">
        <v>3.4420999999999999</v>
      </c>
      <c r="C54" s="163">
        <v>3.3815999999999997</v>
      </c>
      <c r="D54" s="163">
        <v>3.7211999999999996</v>
      </c>
      <c r="E54" s="163"/>
    </row>
    <row r="55" spans="1:5" x14ac:dyDescent="0.25">
      <c r="A55" s="166" t="s">
        <v>216</v>
      </c>
      <c r="B55" s="163">
        <v>2.359</v>
      </c>
      <c r="C55" s="163">
        <v>2.6588000000000003</v>
      </c>
      <c r="D55" s="163">
        <v>2.5941000000000001</v>
      </c>
      <c r="E55" s="163"/>
    </row>
    <row r="56" spans="1:5" x14ac:dyDescent="0.25">
      <c r="A56" s="166"/>
      <c r="B56" s="163"/>
      <c r="C56" s="163"/>
      <c r="D56" s="163"/>
      <c r="E56" s="163"/>
    </row>
    <row r="57" spans="1:5" x14ac:dyDescent="0.25">
      <c r="A57" s="166"/>
    </row>
    <row r="58" spans="1:5" x14ac:dyDescent="0.25">
      <c r="A58" s="16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OCS-20d, April 2020</cp:keywords>
  <dc:description>mark.ash@usda.gov</dc:description>
  <cp:lastModifiedBy>Windows User</cp:lastModifiedBy>
  <cp:lastPrinted>2014-11-10T20:35:48Z</cp:lastPrinted>
  <dcterms:created xsi:type="dcterms:W3CDTF">2001-11-13T16:22:15Z</dcterms:created>
  <dcterms:modified xsi:type="dcterms:W3CDTF">2020-04-13T13:22:26Z</dcterms:modified>
  <cp:category>Oilseeds</cp:category>
</cp:coreProperties>
</file>