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2023/OCS-23H August 2023/"/>
    </mc:Choice>
  </mc:AlternateContent>
  <xr:revisionPtr revIDLastSave="157" documentId="13_ncr:1_{80CF6402-5AFB-49D0-B92F-62BC6CF8E088}" xr6:coauthVersionLast="47" xr6:coauthVersionMax="47" xr10:uidLastSave="{C80E26CF-903D-444C-A1E5-E91B89AEC66D}"/>
  <bookViews>
    <workbookView xWindow="28680" yWindow="-120" windowWidth="29040" windowHeight="15840" tabRatio="873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43" r:id="rId9"/>
    <sheet name="Figure 2" sheetId="138" r:id="rId10"/>
    <sheet name="Figure 3" sheetId="142" r:id="rId11"/>
  </sheets>
  <definedNames>
    <definedName name="_xlnm.Print_Area" localSheetId="1">'Table 1'!$A$1:$N$45</definedName>
    <definedName name="_xlnm.Print_Area" localSheetId="7">'Table 10'!$A$1:$G$47</definedName>
    <definedName name="_xlnm.Print_Area" localSheetId="2">'Table 2'!$A$1:$J$36</definedName>
    <definedName name="_xlnm.Print_Area" localSheetId="3">'Table 3'!$A$1:$L$49</definedName>
    <definedName name="_xlnm.Print_Area" localSheetId="5">'Table 8'!$A$1:$G$46</definedName>
    <definedName name="_xlnm.Print_Area" localSheetId="6">'Table 9'!$A$1:$I$48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5" l="1"/>
  <c r="G18" i="5"/>
  <c r="H18" i="5"/>
  <c r="G43" i="1"/>
  <c r="J43" i="1"/>
  <c r="H7" i="1"/>
  <c r="H41" i="1"/>
  <c r="G42" i="1"/>
  <c r="J42" i="1"/>
  <c r="L43" i="1"/>
  <c r="J8" i="2" l="1"/>
  <c r="D34" i="9" l="1"/>
  <c r="D34" i="2"/>
  <c r="J33" i="9"/>
  <c r="H34" i="2"/>
  <c r="J34" i="9"/>
  <c r="H33" i="2"/>
  <c r="L42" i="1"/>
  <c r="B34" i="9" l="1"/>
  <c r="B34" i="2"/>
  <c r="E34" i="2" s="1"/>
  <c r="I34" i="2" s="1"/>
  <c r="G34" i="2" s="1"/>
  <c r="I7" i="2"/>
  <c r="G7" i="9"/>
  <c r="K7" i="9" s="1"/>
  <c r="I32" i="3"/>
  <c r="J7" i="3"/>
  <c r="J8" i="3"/>
  <c r="I33" i="3"/>
  <c r="F46" i="3"/>
  <c r="H32" i="2"/>
  <c r="H31" i="2"/>
  <c r="H30" i="2"/>
  <c r="H29" i="2"/>
  <c r="H28" i="2"/>
  <c r="H27" i="2"/>
  <c r="H26" i="2"/>
  <c r="H23" i="2"/>
  <c r="H22" i="2"/>
  <c r="H21" i="2"/>
  <c r="H20" i="2"/>
  <c r="H19" i="2"/>
  <c r="H18" i="2"/>
  <c r="H14" i="2"/>
  <c r="H13" i="2"/>
  <c r="G11" i="1" l="1"/>
  <c r="L40" i="1"/>
  <c r="L39" i="1"/>
  <c r="L38" i="1"/>
  <c r="L36" i="1"/>
  <c r="L35" i="1"/>
  <c r="L34" i="1"/>
  <c r="L32" i="1"/>
  <c r="L31" i="1"/>
  <c r="L30" i="1"/>
  <c r="L27" i="1"/>
  <c r="L25" i="1"/>
  <c r="L24" i="1"/>
  <c r="L23" i="1"/>
  <c r="L21" i="1"/>
  <c r="L20" i="1"/>
  <c r="L19" i="1"/>
  <c r="L17" i="1"/>
  <c r="L16" i="1"/>
  <c r="L15" i="1"/>
  <c r="L13" i="1"/>
  <c r="L12" i="1"/>
  <c r="N45" i="3" l="1"/>
  <c r="I8" i="2" l="1"/>
  <c r="J28" i="9"/>
  <c r="J27" i="9"/>
  <c r="J26" i="9"/>
  <c r="J22" i="9"/>
  <c r="J21" i="9"/>
  <c r="J20" i="9"/>
  <c r="J19" i="9"/>
  <c r="J18" i="9"/>
  <c r="J17" i="9"/>
  <c r="J16" i="9"/>
  <c r="J15" i="9"/>
  <c r="J14" i="9"/>
  <c r="J13" i="9"/>
  <c r="J11" i="9"/>
  <c r="J23" i="9"/>
  <c r="G8" i="9"/>
  <c r="K8" i="9" s="1"/>
  <c r="D27" i="9" l="1"/>
  <c r="D26" i="9"/>
  <c r="D22" i="9"/>
  <c r="D21" i="9"/>
  <c r="D20" i="9"/>
  <c r="D19" i="9"/>
  <c r="D18" i="9"/>
  <c r="D17" i="9"/>
  <c r="D16" i="9"/>
  <c r="D15" i="9"/>
  <c r="D14" i="9"/>
  <c r="D13" i="9"/>
  <c r="D23" i="9"/>
  <c r="D23" i="2"/>
  <c r="D28" i="2"/>
  <c r="D27" i="2"/>
  <c r="D26" i="2"/>
  <c r="D22" i="2"/>
  <c r="D21" i="2"/>
  <c r="D20" i="2"/>
  <c r="D19" i="2"/>
  <c r="D18" i="2"/>
  <c r="D17" i="2"/>
  <c r="D16" i="2"/>
  <c r="D15" i="2"/>
  <c r="D14" i="2"/>
  <c r="D11" i="2"/>
  <c r="H17" i="2"/>
  <c r="H16" i="2"/>
  <c r="H15" i="2"/>
  <c r="H12" i="2"/>
  <c r="H11" i="2"/>
  <c r="L11" i="1"/>
  <c r="D8" i="1"/>
  <c r="G27" i="1"/>
  <c r="G39" i="1"/>
  <c r="G34" i="1"/>
  <c r="G32" i="1"/>
  <c r="G31" i="1"/>
  <c r="G30" i="1"/>
  <c r="G25" i="1"/>
  <c r="G24" i="1"/>
  <c r="G23" i="1"/>
  <c r="G21" i="1"/>
  <c r="G20" i="1"/>
  <c r="G19" i="1"/>
  <c r="G17" i="1"/>
  <c r="G16" i="1"/>
  <c r="D33" i="9" l="1"/>
  <c r="D33" i="2" l="1"/>
  <c r="J40" i="1" l="1"/>
  <c r="G40" i="1"/>
  <c r="N41" i="1" l="1"/>
  <c r="N37" i="1"/>
  <c r="B33" i="9" l="1"/>
  <c r="E33" i="9" s="1"/>
  <c r="K33" i="9" s="1"/>
  <c r="G33" i="9" s="1"/>
  <c r="I33" i="9" s="1"/>
  <c r="B33" i="2"/>
  <c r="E33" i="2" s="1"/>
  <c r="I33" i="2" s="1"/>
  <c r="G33" i="2" s="1"/>
  <c r="J32" i="9" l="1"/>
  <c r="D32" i="9"/>
  <c r="D32" i="2"/>
  <c r="M8" i="1" l="1"/>
  <c r="M7" i="1"/>
  <c r="J39" i="1" l="1"/>
  <c r="B32" i="9"/>
  <c r="E32" i="9" s="1"/>
  <c r="K32" i="9" s="1"/>
  <c r="G32" i="9" s="1"/>
  <c r="I32" i="9" s="1"/>
  <c r="B32" i="2"/>
  <c r="E32" i="2" s="1"/>
  <c r="I32" i="2" s="1"/>
  <c r="G32" i="2" s="1"/>
  <c r="D31" i="9"/>
  <c r="D31" i="2"/>
  <c r="J31" i="9" l="1"/>
  <c r="G38" i="1" l="1"/>
  <c r="G41" i="1" s="1"/>
  <c r="L41" i="1" l="1"/>
  <c r="J38" i="1" l="1"/>
  <c r="J41" i="1" s="1"/>
  <c r="I21" i="3" l="1"/>
  <c r="B11" i="9"/>
  <c r="B11" i="2"/>
  <c r="E14" i="1"/>
  <c r="B31" i="9" l="1"/>
  <c r="E31" i="9" s="1"/>
  <c r="K31" i="9" s="1"/>
  <c r="G31" i="9" s="1"/>
  <c r="I31" i="9" s="1"/>
  <c r="B31" i="2"/>
  <c r="E31" i="2" s="1"/>
  <c r="I31" i="2" s="1"/>
  <c r="G31" i="2" s="1"/>
  <c r="D30" i="9" l="1"/>
  <c r="D30" i="2"/>
  <c r="J30" i="9" l="1"/>
  <c r="G36" i="1" l="1"/>
  <c r="E41" i="1" l="1"/>
  <c r="M41" i="1" s="1"/>
  <c r="K41" i="1" s="1"/>
  <c r="N33" i="1"/>
  <c r="E37" i="1" s="1"/>
  <c r="B30" i="9" l="1"/>
  <c r="E30" i="9" s="1"/>
  <c r="K30" i="9" s="1"/>
  <c r="G30" i="9" s="1"/>
  <c r="I30" i="9" s="1"/>
  <c r="B30" i="2"/>
  <c r="E30" i="2" s="1"/>
  <c r="I30" i="2" s="1"/>
  <c r="G30" i="2" s="1"/>
  <c r="J36" i="1"/>
  <c r="J29" i="9" l="1"/>
  <c r="D29" i="9"/>
  <c r="D29" i="2"/>
  <c r="G35" i="1"/>
  <c r="J35" i="1"/>
  <c r="J34" i="1"/>
  <c r="J32" i="1"/>
  <c r="J31" i="1"/>
  <c r="J30" i="1"/>
  <c r="J25" i="1"/>
  <c r="J24" i="1"/>
  <c r="J23" i="1"/>
  <c r="J21" i="1"/>
  <c r="J20" i="1"/>
  <c r="J19" i="1"/>
  <c r="J17" i="1"/>
  <c r="J16" i="1"/>
  <c r="B29" i="9"/>
  <c r="E29" i="9" s="1"/>
  <c r="K29" i="9" s="1"/>
  <c r="B29" i="2"/>
  <c r="E29" i="2" s="1"/>
  <c r="I29" i="2" s="1"/>
  <c r="G29" i="2" s="1"/>
  <c r="J37" i="1" l="1"/>
  <c r="G29" i="9"/>
  <c r="I29" i="9" s="1"/>
  <c r="G37" i="1"/>
  <c r="H37" i="1" s="1"/>
  <c r="M37" i="1" s="1"/>
  <c r="D28" i="9"/>
  <c r="L37" i="1"/>
  <c r="K37" i="1" l="1"/>
  <c r="B28" i="9"/>
  <c r="E28" i="9" s="1"/>
  <c r="K28" i="9" s="1"/>
  <c r="G28" i="9" s="1"/>
  <c r="I28" i="9" s="1"/>
  <c r="B28" i="2"/>
  <c r="E28" i="2" s="1"/>
  <c r="I28" i="2" s="1"/>
  <c r="G28" i="2" s="1"/>
  <c r="N26" i="1"/>
  <c r="F33" i="1"/>
  <c r="B27" i="9" l="1"/>
  <c r="E27" i="9" s="1"/>
  <c r="K27" i="9" s="1"/>
  <c r="G27" i="9" s="1"/>
  <c r="I27" i="9" s="1"/>
  <c r="B27" i="2"/>
  <c r="E27" i="2" s="1"/>
  <c r="I27" i="2" s="1"/>
  <c r="G27" i="2" s="1"/>
  <c r="B26" i="9" l="1"/>
  <c r="E26" i="9" s="1"/>
  <c r="K26" i="9" s="1"/>
  <c r="G26" i="9" s="1"/>
  <c r="I26" i="9" s="1"/>
  <c r="B26" i="2"/>
  <c r="E26" i="2" l="1"/>
  <c r="I26" i="2" s="1"/>
  <c r="G26" i="2" s="1"/>
  <c r="L6" i="1"/>
  <c r="G33" i="1"/>
  <c r="L33" i="1"/>
  <c r="E33" i="4" l="1"/>
  <c r="J33" i="1"/>
  <c r="L6" i="9" l="1"/>
  <c r="J6" i="9"/>
  <c r="H23" i="9"/>
  <c r="D6" i="9"/>
  <c r="C23" i="9"/>
  <c r="B22" i="9"/>
  <c r="E22" i="9" s="1"/>
  <c r="K22" i="9" s="1"/>
  <c r="J6" i="2"/>
  <c r="B22" i="2"/>
  <c r="E22" i="2" s="1"/>
  <c r="I22" i="2" s="1"/>
  <c r="G22" i="2" s="1"/>
  <c r="C23" i="2"/>
  <c r="C6" i="2" s="1"/>
  <c r="C6" i="9" l="1"/>
  <c r="G22" i="9"/>
  <c r="I22" i="9" s="1"/>
  <c r="B49" i="6" l="1"/>
  <c r="B49" i="5"/>
  <c r="B48" i="4"/>
  <c r="B50" i="3"/>
  <c r="B37" i="9"/>
  <c r="B37" i="2"/>
  <c r="B46" i="1"/>
  <c r="F14" i="1" l="1"/>
  <c r="G33" i="4" l="1"/>
  <c r="F33" i="4"/>
  <c r="D33" i="4"/>
  <c r="C33" i="4"/>
  <c r="B33" i="4"/>
  <c r="E26" i="1"/>
  <c r="F27" i="1"/>
  <c r="E33" i="1"/>
  <c r="B21" i="2"/>
  <c r="E21" i="2" s="1"/>
  <c r="I21" i="2" s="1"/>
  <c r="G21" i="2" s="1"/>
  <c r="B21" i="9"/>
  <c r="E21" i="9" s="1"/>
  <c r="K21" i="9" s="1"/>
  <c r="H33" i="1" l="1"/>
  <c r="M33" i="1" s="1"/>
  <c r="F6" i="1"/>
  <c r="H27" i="1"/>
  <c r="N6" i="1"/>
  <c r="E7" i="1" s="1"/>
  <c r="G21" i="9"/>
  <c r="K33" i="1" l="1"/>
  <c r="I21" i="9"/>
  <c r="B20" i="9" l="1"/>
  <c r="E20" i="9" s="1"/>
  <c r="K20" i="9" s="1"/>
  <c r="G20" i="9" s="1"/>
  <c r="I20" i="9" s="1"/>
  <c r="B20" i="2"/>
  <c r="E20" i="2" s="1"/>
  <c r="I20" i="2" s="1"/>
  <c r="G20" i="2" s="1"/>
  <c r="D45" i="3" l="1"/>
  <c r="H6" i="2" l="1"/>
  <c r="D13" i="2"/>
  <c r="D12" i="2"/>
  <c r="D6" i="2" l="1"/>
  <c r="D12" i="9"/>
  <c r="D11" i="9"/>
  <c r="J12" i="9" l="1"/>
  <c r="G26" i="1" l="1"/>
  <c r="G15" i="1"/>
  <c r="G13" i="1"/>
  <c r="G12" i="1"/>
  <c r="L26" i="1"/>
  <c r="H26" i="1" l="1"/>
  <c r="M26" i="1" s="1"/>
  <c r="J26" i="1"/>
  <c r="B19" i="9"/>
  <c r="E19" i="9" s="1"/>
  <c r="K19" i="9" s="1"/>
  <c r="G19" i="9" s="1"/>
  <c r="I19" i="9" s="1"/>
  <c r="B19" i="2"/>
  <c r="E19" i="2" s="1"/>
  <c r="I19" i="2" s="1"/>
  <c r="G19" i="2" s="1"/>
  <c r="K26" i="1" l="1"/>
  <c r="E22" i="1"/>
  <c r="B18" i="2"/>
  <c r="E18" i="2" s="1"/>
  <c r="I18" i="2" s="1"/>
  <c r="G18" i="2" s="1"/>
  <c r="B18" i="9"/>
  <c r="E18" i="9" s="1"/>
  <c r="K18" i="9" s="1"/>
  <c r="G18" i="9" s="1"/>
  <c r="I18" i="9" s="1"/>
  <c r="B17" i="9" l="1"/>
  <c r="E17" i="9" s="1"/>
  <c r="K17" i="9" s="1"/>
  <c r="G17" i="9" s="1"/>
  <c r="I17" i="9" s="1"/>
  <c r="B17" i="2"/>
  <c r="E17" i="2" s="1"/>
  <c r="I17" i="2" s="1"/>
  <c r="G17" i="2" s="1"/>
  <c r="E45" i="3" l="1"/>
  <c r="H45" i="3" s="1"/>
  <c r="B32" i="3"/>
  <c r="E32" i="3" s="1"/>
  <c r="J32" i="3" s="1"/>
  <c r="B20" i="3"/>
  <c r="E20" i="3" s="1"/>
  <c r="B7" i="3"/>
  <c r="E7" i="3" s="1"/>
  <c r="K7" i="3" s="1"/>
  <c r="B8" i="3" s="1"/>
  <c r="E8" i="3" s="1"/>
  <c r="K8" i="3" s="1"/>
  <c r="B7" i="9"/>
  <c r="E7" i="9" s="1"/>
  <c r="L7" i="9" s="1"/>
  <c r="B8" i="9" s="1"/>
  <c r="E8" i="9" s="1"/>
  <c r="L8" i="9" s="1"/>
  <c r="B7" i="2"/>
  <c r="E7" i="2" s="1"/>
  <c r="J7" i="2" s="1"/>
  <c r="B8" i="2" s="1"/>
  <c r="E8" i="2" s="1"/>
  <c r="D7" i="1"/>
  <c r="B16" i="9"/>
  <c r="B16" i="2"/>
  <c r="E16" i="2" s="1"/>
  <c r="I16" i="2" s="1"/>
  <c r="L22" i="1"/>
  <c r="J22" i="1"/>
  <c r="G22" i="1"/>
  <c r="H22" i="1" s="1"/>
  <c r="O45" i="3" l="1"/>
  <c r="E46" i="3" s="1"/>
  <c r="H46" i="3" s="1"/>
  <c r="I20" i="3"/>
  <c r="J20" i="3" s="1"/>
  <c r="B21" i="3" s="1"/>
  <c r="E21" i="3" s="1"/>
  <c r="J21" i="3" s="1"/>
  <c r="N7" i="1"/>
  <c r="E8" i="1" s="1"/>
  <c r="M22" i="1"/>
  <c r="K22" i="1" s="1"/>
  <c r="E16" i="9"/>
  <c r="K16" i="9" s="1"/>
  <c r="G16" i="9" s="1"/>
  <c r="I16" i="9" s="1"/>
  <c r="G16" i="2"/>
  <c r="B15" i="9"/>
  <c r="B15" i="2"/>
  <c r="E18" i="1"/>
  <c r="H8" i="1" l="1"/>
  <c r="N8" i="1" s="1"/>
  <c r="E15" i="9"/>
  <c r="K15" i="9" s="1"/>
  <c r="G15" i="9" s="1"/>
  <c r="I15" i="9" s="1"/>
  <c r="E15" i="2"/>
  <c r="I15" i="2" s="1"/>
  <c r="G15" i="2" s="1"/>
  <c r="B14" i="9" l="1"/>
  <c r="E14" i="9" s="1"/>
  <c r="K14" i="9" s="1"/>
  <c r="G14" i="9" s="1"/>
  <c r="I14" i="9" s="1"/>
  <c r="B14" i="2"/>
  <c r="E14" i="2" s="1"/>
  <c r="I14" i="2" s="1"/>
  <c r="G14" i="2" s="1"/>
  <c r="L18" i="1"/>
  <c r="G18" i="1"/>
  <c r="H18" i="1" s="1"/>
  <c r="M18" i="1" s="1"/>
  <c r="J15" i="1"/>
  <c r="J13" i="1"/>
  <c r="J18" i="1" l="1"/>
  <c r="K18" i="1" s="1"/>
  <c r="B13" i="9"/>
  <c r="E13" i="9" s="1"/>
  <c r="K13" i="9" s="1"/>
  <c r="G13" i="9" s="1"/>
  <c r="I13" i="9" s="1"/>
  <c r="B13" i="2"/>
  <c r="E13" i="2" s="1"/>
  <c r="I13" i="2" s="1"/>
  <c r="G13" i="2" s="1"/>
  <c r="B12" i="9" l="1"/>
  <c r="B12" i="2"/>
  <c r="E12" i="9" l="1"/>
  <c r="K12" i="9" s="1"/>
  <c r="G12" i="9" s="1"/>
  <c r="I12" i="9" s="1"/>
  <c r="E12" i="2"/>
  <c r="I12" i="2" s="1"/>
  <c r="G12" i="2" s="1"/>
  <c r="J12" i="1" l="1"/>
  <c r="E11" i="9" l="1"/>
  <c r="K11" i="9" s="1"/>
  <c r="E23" i="9"/>
  <c r="E6" i="9" s="1"/>
  <c r="E11" i="2"/>
  <c r="I11" i="2" s="1"/>
  <c r="E23" i="2"/>
  <c r="E6" i="2" s="1"/>
  <c r="G11" i="9" l="1"/>
  <c r="K23" i="9"/>
  <c r="G11" i="2"/>
  <c r="G23" i="2" s="1"/>
  <c r="G6" i="2" s="1"/>
  <c r="I23" i="2"/>
  <c r="I6" i="2" s="1"/>
  <c r="L14" i="1"/>
  <c r="G14" i="1"/>
  <c r="I11" i="9" l="1"/>
  <c r="I23" i="9" s="1"/>
  <c r="G23" i="9"/>
  <c r="G6" i="1"/>
  <c r="H14" i="1"/>
  <c r="M14" i="1" s="1"/>
  <c r="M27" i="1" s="1"/>
  <c r="J11" i="1"/>
  <c r="J14" i="1" s="1"/>
  <c r="J27" i="1" l="1"/>
  <c r="J6" i="1" s="1"/>
  <c r="K14" i="1"/>
  <c r="K27" i="1" s="1"/>
  <c r="D44" i="3" l="1"/>
  <c r="D6" i="1"/>
  <c r="K6" i="9" l="1"/>
  <c r="G6" i="9" s="1"/>
  <c r="I6" i="9" s="1"/>
  <c r="E6" i="3" l="1"/>
  <c r="J6" i="3" s="1"/>
  <c r="I6" i="3" s="1"/>
  <c r="E19" i="3"/>
  <c r="G19" i="3" s="1"/>
  <c r="I19" i="3" s="1"/>
  <c r="H44" i="3"/>
  <c r="N44" i="3" s="1"/>
  <c r="L44" i="3" s="1"/>
  <c r="E31" i="3" l="1"/>
  <c r="I31" i="3" s="1"/>
  <c r="G31" i="3" s="1"/>
  <c r="H6" i="1" l="1"/>
  <c r="M6" i="1" l="1"/>
  <c r="K6" i="1" s="1"/>
  <c r="N46" i="3" l="1"/>
  <c r="O46" i="3" s="1"/>
  <c r="B33" i="3" l="1"/>
  <c r="E33" i="3" s="1"/>
  <c r="J33" i="3" s="1"/>
  <c r="E34" i="9" l="1"/>
  <c r="K34" i="9" s="1"/>
  <c r="G34" i="9" s="1"/>
</calcChain>
</file>

<file path=xl/sharedStrings.xml><?xml version="1.0" encoding="utf-8"?>
<sst xmlns="http://schemas.openxmlformats.org/spreadsheetml/2006/main" count="559" uniqueCount="185">
  <si>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</si>
  <si>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</si>
  <si>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</si>
  <si>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</si>
  <si>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</si>
  <si>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</si>
  <si>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</si>
  <si>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</si>
  <si>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</si>
  <si>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</si>
  <si>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</si>
  <si>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</si>
  <si>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</si>
  <si>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</si>
  <si>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</si>
  <si>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</si>
  <si>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</si>
  <si>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</si>
  <si>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</si>
  <si>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</si>
  <si>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</si>
  <si>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</si>
  <si>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</si>
  <si>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</si>
  <si>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</si>
  <si>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</si>
  <si>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</si>
  <si>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</si>
  <si>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</si>
  <si>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</si>
  <si>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</si>
  <si>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</si>
  <si>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</si>
  <si>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</si>
  <si>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2021/22</t>
  </si>
  <si>
    <r>
      <t>2022/23</t>
    </r>
    <r>
      <rPr>
        <vertAlign val="superscript"/>
        <sz val="11"/>
        <rFont val="Arial"/>
        <family val="2"/>
      </rPr>
      <t>1</t>
    </r>
  </si>
  <si>
    <r>
      <t>2023/24</t>
    </r>
    <r>
      <rPr>
        <vertAlign val="superscript"/>
        <sz val="11"/>
        <rFont val="Arial"/>
        <family val="2"/>
      </rPr>
      <t>2</t>
    </r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</si>
  <si>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</si>
  <si>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</si>
  <si>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</si>
  <si>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</si>
  <si>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</si>
  <si>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</si>
  <si>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</si>
  <si>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</si>
  <si>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</si>
  <si>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</si>
  <si>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</si>
  <si>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</si>
  <si>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</si>
  <si>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</si>
  <si>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</si>
  <si>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</si>
  <si>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2022/23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</si>
  <si>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</si>
  <si>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</si>
  <si>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</si>
  <si>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</si>
  <si>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</si>
  <si>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</si>
  <si>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</si>
  <si>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</si>
  <si>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</si>
  <si>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</si>
  <si>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</si>
  <si>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</si>
  <si>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</si>
  <si>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</si>
  <si>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</si>
  <si>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</si>
  <si>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</si>
  <si>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</si>
  <si>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</si>
  <si>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</si>
  <si>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</si>
  <si>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</si>
  <si>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</si>
  <si>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</si>
  <si>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</si>
  <si>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</si>
  <si>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</si>
  <si>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</si>
  <si>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</si>
  <si>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</si>
  <si>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</si>
  <si>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</si>
  <si>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</si>
  <si>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</si>
  <si>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</si>
  <si>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</si>
  <si>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</si>
  <si>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</si>
  <si>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Supply,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</si>
  <si>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 xml:space="preserve">food </t>
  </si>
  <si>
    <t>1,000 acres</t>
  </si>
  <si>
    <t>Pounds/acre</t>
  </si>
  <si>
    <t xml:space="preserve">      Million pounds</t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</si>
  <si>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</si>
  <si>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</si>
  <si>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</si>
  <si>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</si>
  <si>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</si>
  <si>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</si>
  <si>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</si>
  <si>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</si>
  <si>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</si>
  <si>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</si>
  <si>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</si>
  <si>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</si>
  <si>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</si>
  <si>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</si>
  <si>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</si>
  <si>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</si>
  <si>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</si>
  <si>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</si>
  <si>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</si>
  <si>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</si>
  <si>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</si>
  <si>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</si>
  <si>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</si>
  <si>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</si>
  <si>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r>
      <t>2022/23</t>
    </r>
    <r>
      <rPr>
        <vertAlign val="superscript"/>
        <sz val="11"/>
        <rFont val="Arial"/>
        <family val="2"/>
      </rPr>
      <t>4</t>
    </r>
  </si>
  <si>
    <r>
      <t>2023/24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</si>
  <si>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</si>
  <si>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</si>
  <si>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</si>
  <si>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</si>
  <si>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</si>
  <si>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</si>
  <si>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</si>
  <si>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</si>
  <si>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</si>
  <si>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</si>
  <si>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</si>
  <si>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</si>
  <si>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</si>
  <si>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</si>
  <si>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</si>
  <si>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</si>
  <si>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</si>
  <si>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2022/23</t>
    </r>
    <r>
      <rPr>
        <vertAlign val="superscript"/>
        <sz val="11"/>
        <rFont val="Arial"/>
        <family val="2"/>
      </rPr>
      <t>7</t>
    </r>
  </si>
  <si>
    <r>
      <t>2023/24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</si>
  <si>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</si>
  <si>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</si>
  <si>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</si>
  <si>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</si>
  <si>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</si>
  <si>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</si>
  <si>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</si>
  <si>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</si>
  <si>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</si>
  <si>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</si>
  <si>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</si>
  <si>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</si>
  <si>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</si>
  <si>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</si>
  <si>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</si>
  <si>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</si>
  <si>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</si>
  <si>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>2023/24*</t>
  </si>
  <si>
    <t>Delta</t>
  </si>
  <si>
    <t>Eastern Corn Belt</t>
  </si>
  <si>
    <t>Western Corn Belt</t>
  </si>
  <si>
    <t>Central Plains</t>
  </si>
  <si>
    <t>Northern Plains</t>
  </si>
  <si>
    <t>Other</t>
  </si>
  <si>
    <t>Alabama</t>
  </si>
  <si>
    <t>Florida</t>
  </si>
  <si>
    <t>Georgia</t>
  </si>
  <si>
    <t>North Carolina</t>
  </si>
  <si>
    <t>South Carolina</t>
  </si>
  <si>
    <t>Texas</t>
  </si>
  <si>
    <t>Export price</t>
  </si>
  <si>
    <t>Date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</si>
  <si>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</si>
  <si>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</si>
  <si>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</si>
  <si>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</si>
  <si>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</si>
  <si>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</si>
  <si>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</si>
  <si>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</si>
  <si>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</si>
  <si>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Jun.</t>
  </si>
  <si>
    <t>Jul.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</si>
</sst>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_);\(#,##0.0\)"/>
    <numFmt numFmtId="175" formatCode="#,##0.000"/>
    <numFmt numFmtId="176" formatCode="0.000"/>
    <numFmt numFmtId="177" formatCode="[$-409]mmm\-yy;@"/>
    <numFmt numFmtId="178" formatCode="_(* #,##0.00_);_(* \(#,##0.00\);_(* &quot;-&quot;_);_(@_)"/>
    <numFmt numFmtId="179" formatCode="_(* #,##0.0_);_(* \(#,##0.0\);_(* &quot;-&quot;_);_(@_)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9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44" fillId="0" borderId="0"/>
    <xf numFmtId="0" fontId="29" fillId="0" borderId="0"/>
    <xf numFmtId="0" fontId="28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4" fontId="30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71">
    <xf numFmtId="0" fontId="0" fillId="0" borderId="0" xfId="0"/>
    <xf numFmtId="0" fontId="31" fillId="0" borderId="0" xfId="8"/>
    <xf numFmtId="0" fontId="32" fillId="0" borderId="0" xfId="8" applyFont="1"/>
    <xf numFmtId="0" fontId="37" fillId="0" borderId="0" xfId="8" applyFont="1"/>
    <xf numFmtId="0" fontId="38" fillId="0" borderId="0" xfId="8" applyFont="1"/>
    <xf numFmtId="169" fontId="39" fillId="0" borderId="0" xfId="1" applyNumberFormat="1" applyFont="1" applyFill="1" applyBorder="1" applyAlignment="1">
      <alignment horizontal="center"/>
    </xf>
    <xf numFmtId="169" fontId="39" fillId="0" borderId="0" xfId="1" applyNumberFormat="1" applyFont="1" applyFill="1" applyBorder="1" applyAlignment="1">
      <alignment horizontal="right" indent="1"/>
    </xf>
    <xf numFmtId="0" fontId="45" fillId="0" borderId="0" xfId="7" applyFont="1" applyAlignment="1">
      <alignment horizontal="left"/>
    </xf>
    <xf numFmtId="0" fontId="46" fillId="0" borderId="0" xfId="5" applyFont="1" applyAlignment="1" applyProtection="1"/>
    <xf numFmtId="14" fontId="45" fillId="0" borderId="0" xfId="7" applyNumberFormat="1" applyFont="1" applyAlignment="1">
      <alignment horizontal="left"/>
    </xf>
    <xf numFmtId="0" fontId="46" fillId="0" borderId="0" xfId="4" applyFont="1" applyAlignment="1" applyProtection="1"/>
    <xf numFmtId="0" fontId="39" fillId="0" borderId="0" xfId="7" quotePrefix="1" applyFont="1" applyAlignment="1">
      <alignment horizontal="left"/>
    </xf>
    <xf numFmtId="0" fontId="39" fillId="0" borderId="0" xfId="8" applyFont="1" applyAlignment="1">
      <alignment wrapText="1"/>
    </xf>
    <xf numFmtId="169" fontId="39" fillId="0" borderId="0" xfId="1" applyNumberFormat="1" applyFont="1" applyFill="1" applyBorder="1" applyAlignment="1">
      <alignment horizontal="right"/>
    </xf>
    <xf numFmtId="0" fontId="39" fillId="0" borderId="1" xfId="0" applyFont="1" applyBorder="1"/>
    <xf numFmtId="0" fontId="39" fillId="0" borderId="0" xfId="0" applyFont="1"/>
    <xf numFmtId="0" fontId="39" fillId="0" borderId="2" xfId="0" applyFont="1" applyBorder="1" applyAlignment="1">
      <alignment horizontal="right"/>
    </xf>
    <xf numFmtId="0" fontId="39" fillId="0" borderId="0" xfId="0" applyFont="1" applyAlignment="1">
      <alignment horizontal="center"/>
    </xf>
    <xf numFmtId="0" fontId="0" fillId="0" borderId="2" xfId="0" applyBorder="1"/>
    <xf numFmtId="0" fontId="39" fillId="0" borderId="2" xfId="0" applyFont="1" applyBorder="1" applyAlignment="1">
      <alignment horizontal="left"/>
    </xf>
    <xf numFmtId="0" fontId="39" fillId="0" borderId="0" xfId="0" applyFont="1" applyAlignment="1">
      <alignment horizontal="right"/>
    </xf>
    <xf numFmtId="16" fontId="39" fillId="0" borderId="1" xfId="0" quotePrefix="1" applyNumberFormat="1" applyFont="1" applyBorder="1"/>
    <xf numFmtId="16" fontId="39" fillId="0" borderId="1" xfId="0" applyNumberFormat="1" applyFont="1" applyBorder="1"/>
    <xf numFmtId="0" fontId="39" fillId="0" borderId="1" xfId="0" applyFont="1" applyBorder="1" applyAlignment="1">
      <alignment horizontal="center"/>
    </xf>
    <xf numFmtId="0" fontId="39" fillId="0" borderId="1" xfId="0" applyFont="1" applyBorder="1" applyAlignment="1">
      <alignment horizontal="right"/>
    </xf>
    <xf numFmtId="0" fontId="39" fillId="0" borderId="1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40" fillId="0" borderId="3" xfId="0" quotePrefix="1" applyFont="1" applyBorder="1" applyAlignment="1">
      <alignment horizontal="center"/>
    </xf>
    <xf numFmtId="0" fontId="40" fillId="0" borderId="0" xfId="0" quotePrefix="1" applyFont="1" applyAlignment="1">
      <alignment horizontal="right"/>
    </xf>
    <xf numFmtId="167" fontId="39" fillId="0" borderId="0" xfId="0" applyNumberFormat="1" applyFont="1" applyAlignment="1">
      <alignment horizontal="center"/>
    </xf>
    <xf numFmtId="165" fontId="39" fillId="0" borderId="0" xfId="1" applyNumberFormat="1" applyFont="1" applyFill="1" applyAlignment="1">
      <alignment horizontal="left"/>
    </xf>
    <xf numFmtId="165" fontId="39" fillId="0" borderId="0" xfId="1" applyNumberFormat="1" applyFont="1" applyFill="1" applyAlignment="1">
      <alignment horizontal="center"/>
    </xf>
    <xf numFmtId="3" fontId="39" fillId="0" borderId="0" xfId="1" applyNumberFormat="1" applyFont="1" applyFill="1" applyBorder="1" applyAlignment="1">
      <alignment horizontal="right" indent="1"/>
    </xf>
    <xf numFmtId="164" fontId="39" fillId="0" borderId="0" xfId="1" applyNumberFormat="1" applyFont="1" applyFill="1" applyBorder="1"/>
    <xf numFmtId="164" fontId="39" fillId="0" borderId="0" xfId="1" applyNumberFormat="1" applyFont="1" applyFill="1" applyBorder="1" applyAlignment="1">
      <alignment horizontal="right"/>
    </xf>
    <xf numFmtId="0" fontId="45" fillId="0" borderId="0" xfId="0" applyFont="1"/>
    <xf numFmtId="169" fontId="39" fillId="0" borderId="0" xfId="1" quotePrefix="1" applyNumberFormat="1" applyFont="1" applyFill="1" applyBorder="1" applyAlignment="1">
      <alignment horizontal="right"/>
    </xf>
    <xf numFmtId="164" fontId="39" fillId="0" borderId="0" xfId="1" applyNumberFormat="1" applyFont="1" applyFill="1" applyBorder="1" applyAlignment="1">
      <alignment horizontal="center"/>
    </xf>
    <xf numFmtId="164" fontId="39" fillId="0" borderId="0" xfId="1" quotePrefix="1" applyNumberFormat="1" applyFont="1" applyFill="1" applyBorder="1" applyAlignment="1">
      <alignment horizontal="center"/>
    </xf>
    <xf numFmtId="169" fontId="0" fillId="0" borderId="0" xfId="0" applyNumberFormat="1"/>
    <xf numFmtId="164" fontId="39" fillId="0" borderId="0" xfId="1" applyNumberFormat="1" applyFont="1" applyFill="1"/>
    <xf numFmtId="14" fontId="39" fillId="0" borderId="0" xfId="0" applyNumberFormat="1" applyFont="1" applyAlignment="1">
      <alignment horizontal="left"/>
    </xf>
    <xf numFmtId="3" fontId="39" fillId="0" borderId="0" xfId="1" applyNumberFormat="1" applyFont="1" applyFill="1" applyAlignment="1">
      <alignment horizontal="right" indent="2"/>
    </xf>
    <xf numFmtId="3" fontId="39" fillId="0" borderId="0" xfId="1" applyNumberFormat="1" applyFont="1" applyFill="1" applyAlignment="1">
      <alignment horizontal="right" indent="1"/>
    </xf>
    <xf numFmtId="3" fontId="39" fillId="0" borderId="0" xfId="1" applyNumberFormat="1" applyFont="1" applyFill="1" applyAlignment="1">
      <alignment horizontal="center"/>
    </xf>
    <xf numFmtId="169" fontId="39" fillId="0" borderId="0" xfId="1" applyNumberFormat="1" applyFont="1" applyFill="1" applyBorder="1" applyAlignment="1">
      <alignment horizontal="right" indent="2"/>
    </xf>
    <xf numFmtId="169" fontId="39" fillId="0" borderId="1" xfId="1" applyNumberFormat="1" applyFont="1" applyFill="1" applyBorder="1" applyAlignment="1">
      <alignment horizontal="right" indent="2"/>
    </xf>
    <xf numFmtId="0" fontId="41" fillId="0" borderId="0" xfId="0" applyFont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39" fillId="0" borderId="1" xfId="1" applyNumberFormat="1" applyFont="1" applyFill="1" applyBorder="1" applyAlignment="1">
      <alignment horizontal="center"/>
    </xf>
    <xf numFmtId="165" fontId="39" fillId="0" borderId="1" xfId="1" applyNumberFormat="1" applyFont="1" applyFill="1" applyBorder="1" applyAlignment="1">
      <alignment horizontal="right"/>
    </xf>
    <xf numFmtId="16" fontId="39" fillId="0" borderId="0" xfId="0" applyNumberFormat="1" applyFont="1"/>
    <xf numFmtId="0" fontId="40" fillId="0" borderId="0" xfId="0" applyFont="1" applyAlignment="1">
      <alignment horizontal="center"/>
    </xf>
    <xf numFmtId="2" fontId="39" fillId="0" borderId="0" xfId="0" applyNumberFormat="1" applyFont="1" applyAlignment="1">
      <alignment horizontal="right" indent="2"/>
    </xf>
    <xf numFmtId="170" fontId="39" fillId="0" borderId="0" xfId="0" applyNumberFormat="1" applyFont="1"/>
    <xf numFmtId="43" fontId="39" fillId="0" borderId="0" xfId="1" quotePrefix="1" applyFont="1" applyFill="1" applyBorder="1" applyAlignment="1">
      <alignment horizontal="center"/>
    </xf>
    <xf numFmtId="166" fontId="39" fillId="0" borderId="0" xfId="1" quotePrefix="1" applyNumberFormat="1" applyFont="1" applyFill="1" applyBorder="1" applyAlignment="1">
      <alignment horizontal="center"/>
    </xf>
    <xf numFmtId="43" fontId="39" fillId="0" borderId="0" xfId="1" applyFont="1" applyFill="1" applyBorder="1" applyAlignment="1">
      <alignment horizontal="center"/>
    </xf>
    <xf numFmtId="0" fontId="45" fillId="0" borderId="0" xfId="0" quotePrefix="1" applyFont="1"/>
    <xf numFmtId="0" fontId="39" fillId="0" borderId="0" xfId="0" applyFont="1" applyAlignment="1">
      <alignment horizontal="left"/>
    </xf>
    <xf numFmtId="0" fontId="39" fillId="0" borderId="0" xfId="0" applyFont="1" applyAlignment="1">
      <alignment horizontal="left" indent="1"/>
    </xf>
    <xf numFmtId="0" fontId="39" fillId="0" borderId="3" xfId="0" applyFont="1" applyBorder="1" applyAlignment="1">
      <alignment horizontal="center"/>
    </xf>
    <xf numFmtId="0" fontId="39" fillId="0" borderId="1" xfId="0" applyFont="1" applyBorder="1" applyAlignment="1">
      <alignment horizontal="left"/>
    </xf>
    <xf numFmtId="0" fontId="40" fillId="0" borderId="3" xfId="0" quotePrefix="1" applyFont="1" applyBorder="1"/>
    <xf numFmtId="0" fontId="40" fillId="0" borderId="3" xfId="0" applyFont="1" applyBorder="1"/>
    <xf numFmtId="43" fontId="39" fillId="0" borderId="0" xfId="1" applyFont="1" applyFill="1" applyBorder="1"/>
    <xf numFmtId="2" fontId="39" fillId="0" borderId="0" xfId="0" applyNumberFormat="1" applyFont="1" applyAlignment="1">
      <alignment horizontal="center"/>
    </xf>
    <xf numFmtId="43" fontId="39" fillId="0" borderId="0" xfId="0" applyNumberFormat="1" applyFont="1"/>
    <xf numFmtId="0" fontId="34" fillId="0" borderId="0" xfId="0" applyFont="1"/>
    <xf numFmtId="2" fontId="0" fillId="0" borderId="0" xfId="0" applyNumberFormat="1"/>
    <xf numFmtId="165" fontId="39" fillId="0" borderId="0" xfId="1" applyNumberFormat="1" applyFont="1" applyFill="1" applyBorder="1" applyAlignment="1">
      <alignment horizontal="center"/>
    </xf>
    <xf numFmtId="47" fontId="0" fillId="0" borderId="0" xfId="0" applyNumberFormat="1"/>
    <xf numFmtId="43" fontId="0" fillId="0" borderId="0" xfId="1" applyFont="1" applyFill="1"/>
    <xf numFmtId="0" fontId="43" fillId="0" borderId="0" xfId="0" applyFont="1" applyAlignment="1">
      <alignment vertical="center"/>
    </xf>
    <xf numFmtId="168" fontId="39" fillId="0" borderId="0" xfId="0" applyNumberFormat="1" applyFont="1"/>
    <xf numFmtId="2" fontId="39" fillId="0" borderId="0" xfId="0" applyNumberFormat="1" applyFont="1"/>
    <xf numFmtId="43" fontId="0" fillId="0" borderId="0" xfId="1" applyFont="1" applyFill="1" applyBorder="1"/>
    <xf numFmtId="43" fontId="0" fillId="0" borderId="0" xfId="0" applyNumberFormat="1"/>
    <xf numFmtId="0" fontId="39" fillId="0" borderId="3" xfId="0" applyFont="1" applyBorder="1"/>
    <xf numFmtId="165" fontId="39" fillId="0" borderId="0" xfId="1" applyNumberFormat="1" applyFont="1" applyFill="1"/>
    <xf numFmtId="37" fontId="39" fillId="0" borderId="0" xfId="1" applyNumberFormat="1" applyFont="1" applyFill="1" applyBorder="1" applyAlignment="1">
      <alignment horizontal="center"/>
    </xf>
    <xf numFmtId="37" fontId="39" fillId="0" borderId="0" xfId="1" applyNumberFormat="1" applyFont="1" applyFill="1" applyBorder="1" applyAlignment="1">
      <alignment horizontal="right" indent="2"/>
    </xf>
    <xf numFmtId="165" fontId="39" fillId="0" borderId="0" xfId="1" applyNumberFormat="1" applyFont="1" applyFill="1" applyBorder="1"/>
    <xf numFmtId="37" fontId="39" fillId="0" borderId="0" xfId="1" applyNumberFormat="1" applyFont="1" applyFill="1" applyBorder="1" applyAlignment="1">
      <alignment horizontal="right" indent="1"/>
    </xf>
    <xf numFmtId="37" fontId="39" fillId="0" borderId="1" xfId="1" applyNumberFormat="1" applyFont="1" applyFill="1" applyBorder="1" applyAlignment="1">
      <alignment horizontal="center"/>
    </xf>
    <xf numFmtId="37" fontId="39" fillId="0" borderId="1" xfId="1" applyNumberFormat="1" applyFont="1" applyFill="1" applyBorder="1" applyAlignment="1">
      <alignment horizontal="right" indent="2"/>
    </xf>
    <xf numFmtId="165" fontId="39" fillId="0" borderId="1" xfId="1" applyNumberFormat="1" applyFont="1" applyFill="1" applyBorder="1"/>
    <xf numFmtId="37" fontId="39" fillId="0" borderId="1" xfId="1" applyNumberFormat="1" applyFont="1" applyFill="1" applyBorder="1" applyAlignment="1">
      <alignment horizontal="right" indent="1"/>
    </xf>
    <xf numFmtId="9" fontId="39" fillId="0" borderId="0" xfId="12" applyFont="1" applyFill="1"/>
    <xf numFmtId="1" fontId="39" fillId="0" borderId="0" xfId="0" applyNumberFormat="1" applyFont="1" applyAlignment="1">
      <alignment horizontal="center"/>
    </xf>
    <xf numFmtId="1" fontId="39" fillId="0" borderId="1" xfId="0" applyNumberFormat="1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14" fontId="39" fillId="0" borderId="0" xfId="0" applyNumberFormat="1" applyFont="1" applyAlignment="1">
      <alignment horizontal="right" inden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169" fontId="39" fillId="0" borderId="0" xfId="1" applyNumberFormat="1" applyFont="1" applyFill="1" applyAlignment="1">
      <alignment horizontal="center"/>
    </xf>
    <xf numFmtId="0" fontId="41" fillId="0" borderId="3" xfId="0" applyFont="1" applyBorder="1"/>
    <xf numFmtId="164" fontId="39" fillId="0" borderId="3" xfId="0" applyNumberFormat="1" applyFont="1" applyBorder="1"/>
    <xf numFmtId="171" fontId="0" fillId="0" borderId="0" xfId="1" applyNumberFormat="1" applyFont="1" applyFill="1" applyBorder="1"/>
    <xf numFmtId="0" fontId="30" fillId="0" borderId="0" xfId="8" applyFont="1"/>
    <xf numFmtId="0" fontId="30" fillId="0" borderId="0" xfId="0" applyFont="1"/>
    <xf numFmtId="4" fontId="48" fillId="0" borderId="0" xfId="0" applyNumberFormat="1" applyFont="1"/>
    <xf numFmtId="0" fontId="30" fillId="0" borderId="0" xfId="0" applyFont="1" applyAlignment="1">
      <alignment horizontal="right"/>
    </xf>
    <xf numFmtId="2" fontId="30" fillId="0" borderId="0" xfId="0" applyNumberFormat="1" applyFont="1" applyAlignment="1">
      <alignment horizontal="right"/>
    </xf>
    <xf numFmtId="172" fontId="34" fillId="0" borderId="0" xfId="12" applyNumberFormat="1" applyFont="1" applyFill="1"/>
    <xf numFmtId="4" fontId="0" fillId="0" borderId="0" xfId="0" applyNumberFormat="1"/>
    <xf numFmtId="169" fontId="39" fillId="0" borderId="0" xfId="1" applyNumberFormat="1" applyFont="1" applyBorder="1" applyAlignment="1">
      <alignment horizontal="right" indent="1"/>
    </xf>
    <xf numFmtId="0" fontId="30" fillId="0" borderId="0" xfId="20"/>
    <xf numFmtId="37" fontId="0" fillId="0" borderId="0" xfId="0" applyNumberFormat="1"/>
    <xf numFmtId="173" fontId="48" fillId="0" borderId="0" xfId="0" applyNumberFormat="1" applyFont="1"/>
    <xf numFmtId="174" fontId="39" fillId="0" borderId="0" xfId="1" applyNumberFormat="1" applyFont="1" applyFill="1" applyBorder="1" applyAlignment="1">
      <alignment horizontal="right" indent="2"/>
    </xf>
    <xf numFmtId="0" fontId="49" fillId="0" borderId="0" xfId="44" applyFont="1" applyAlignment="1">
      <alignment horizontal="center"/>
    </xf>
    <xf numFmtId="164" fontId="39" fillId="2" borderId="0" xfId="1" applyNumberFormat="1" applyFont="1" applyFill="1" applyBorder="1" applyAlignment="1">
      <alignment horizontal="center"/>
    </xf>
    <xf numFmtId="0" fontId="50" fillId="0" borderId="1" xfId="46" applyFont="1" applyBorder="1" applyAlignment="1">
      <alignment horizontal="center" wrapText="1"/>
    </xf>
    <xf numFmtId="0" fontId="49" fillId="0" borderId="0" xfId="46" applyFont="1" applyAlignment="1">
      <alignment horizontal="center"/>
    </xf>
    <xf numFmtId="2" fontId="47" fillId="0" borderId="0" xfId="0" applyNumberFormat="1" applyFont="1" applyAlignment="1">
      <alignment horizontal="center"/>
    </xf>
    <xf numFmtId="0" fontId="52" fillId="0" borderId="0" xfId="0" applyFont="1"/>
    <xf numFmtId="0" fontId="0" fillId="0" borderId="0" xfId="20" applyFont="1"/>
    <xf numFmtId="39" fontId="51" fillId="0" borderId="0" xfId="1" applyNumberFormat="1" applyFont="1" applyFill="1" applyAlignment="1">
      <alignment horizontal="right"/>
    </xf>
    <xf numFmtId="169" fontId="47" fillId="0" borderId="0" xfId="1" applyNumberFormat="1" applyFont="1" applyFill="1" applyBorder="1" applyAlignment="1">
      <alignment horizontal="right"/>
    </xf>
    <xf numFmtId="170" fontId="0" fillId="0" borderId="0" xfId="0" applyNumberFormat="1"/>
    <xf numFmtId="175" fontId="48" fillId="0" borderId="0" xfId="0" applyNumberFormat="1" applyFont="1"/>
    <xf numFmtId="37" fontId="51" fillId="0" borderId="0" xfId="1" applyNumberFormat="1" applyFont="1" applyFill="1"/>
    <xf numFmtId="165" fontId="0" fillId="0" borderId="0" xfId="0" applyNumberFormat="1"/>
    <xf numFmtId="37" fontId="39" fillId="0" borderId="0" xfId="0" applyNumberFormat="1" applyFont="1" applyAlignment="1">
      <alignment vertical="center" wrapText="1"/>
    </xf>
    <xf numFmtId="176" fontId="0" fillId="0" borderId="0" xfId="0" applyNumberFormat="1"/>
    <xf numFmtId="167" fontId="51" fillId="0" borderId="0" xfId="1" applyNumberFormat="1" applyFont="1" applyFill="1" applyAlignment="1">
      <alignment horizontal="right"/>
    </xf>
    <xf numFmtId="1" fontId="0" fillId="0" borderId="0" xfId="0" applyNumberFormat="1"/>
    <xf numFmtId="3" fontId="47" fillId="0" borderId="0" xfId="1" applyNumberFormat="1" applyFont="1" applyFill="1" applyBorder="1" applyAlignment="1">
      <alignment horizontal="right" indent="1"/>
    </xf>
    <xf numFmtId="37" fontId="39" fillId="0" borderId="0" xfId="0" applyNumberFormat="1" applyFont="1"/>
    <xf numFmtId="167" fontId="30" fillId="0" borderId="0" xfId="20" applyNumberFormat="1"/>
    <xf numFmtId="172" fontId="52" fillId="0" borderId="0" xfId="12" applyNumberFormat="1" applyFont="1"/>
    <xf numFmtId="172" fontId="30" fillId="0" borderId="0" xfId="12" applyNumberFormat="1"/>
    <xf numFmtId="2" fontId="39" fillId="0" borderId="1" xfId="0" applyNumberFormat="1" applyFont="1" applyBorder="1" applyAlignment="1">
      <alignment horizontal="right" indent="2"/>
    </xf>
    <xf numFmtId="169" fontId="39" fillId="0" borderId="1" xfId="1" applyNumberFormat="1" applyFont="1" applyFill="1" applyBorder="1" applyAlignment="1">
      <alignment horizontal="right" indent="1"/>
    </xf>
    <xf numFmtId="2" fontId="47" fillId="0" borderId="1" xfId="0" applyNumberFormat="1" applyFont="1" applyBorder="1" applyAlignment="1">
      <alignment horizontal="center"/>
    </xf>
    <xf numFmtId="2" fontId="39" fillId="0" borderId="1" xfId="0" applyNumberFormat="1" applyFont="1" applyBorder="1" applyAlignment="1">
      <alignment horizontal="center"/>
    </xf>
    <xf numFmtId="43" fontId="39" fillId="0" borderId="1" xfId="1" applyFont="1" applyFill="1" applyBorder="1" applyAlignment="1">
      <alignment horizontal="center"/>
    </xf>
    <xf numFmtId="1" fontId="30" fillId="0" borderId="0" xfId="20" applyNumberFormat="1" applyAlignment="1">
      <alignment wrapText="1"/>
    </xf>
    <xf numFmtId="1" fontId="30" fillId="0" borderId="0" xfId="20" applyNumberFormat="1"/>
    <xf numFmtId="172" fontId="0" fillId="0" borderId="0" xfId="12" applyNumberFormat="1" applyFont="1"/>
    <xf numFmtId="1" fontId="0" fillId="0" borderId="0" xfId="20" applyNumberFormat="1" applyFont="1"/>
    <xf numFmtId="177" fontId="30" fillId="0" borderId="0" xfId="20" applyNumberFormat="1"/>
    <xf numFmtId="0" fontId="30" fillId="0" borderId="1" xfId="20" applyBorder="1" applyAlignment="1">
      <alignment wrapText="1"/>
    </xf>
    <xf numFmtId="0" fontId="50" fillId="0" borderId="1" xfId="67" applyFont="1" applyBorder="1" applyAlignment="1">
      <alignment horizontal="center" wrapText="1"/>
    </xf>
    <xf numFmtId="0" fontId="37" fillId="0" borderId="1" xfId="20" applyFont="1" applyBorder="1" applyAlignment="1">
      <alignment horizontal="centerContinuous"/>
    </xf>
    <xf numFmtId="0" fontId="50" fillId="0" borderId="1" xfId="68" applyFont="1" applyBorder="1" applyAlignment="1">
      <alignment horizontal="left" wrapText="1"/>
    </xf>
    <xf numFmtId="0" fontId="50" fillId="0" borderId="1" xfId="68" applyFont="1" applyBorder="1" applyAlignment="1">
      <alignment horizontal="right" wrapText="1"/>
    </xf>
    <xf numFmtId="0" fontId="49" fillId="0" borderId="0" xfId="68" applyFont="1" applyAlignment="1">
      <alignment horizontal="left" wrapText="1"/>
    </xf>
    <xf numFmtId="2" fontId="49" fillId="0" borderId="0" xfId="68" applyNumberFormat="1" applyFont="1" applyAlignment="1">
      <alignment horizontal="right"/>
    </xf>
    <xf numFmtId="17" fontId="30" fillId="0" borderId="0" xfId="20" applyNumberFormat="1" applyAlignment="1">
      <alignment horizontal="left"/>
    </xf>
    <xf numFmtId="2" fontId="49" fillId="0" borderId="0" xfId="33" applyNumberFormat="1" applyFont="1" applyFill="1" applyAlignment="1">
      <alignment horizontal="right" vertical="center"/>
    </xf>
    <xf numFmtId="2" fontId="30" fillId="0" borderId="0" xfId="20" applyNumberFormat="1"/>
    <xf numFmtId="1" fontId="49" fillId="0" borderId="0" xfId="33" applyNumberFormat="1" applyFont="1" applyFill="1" applyAlignment="1">
      <alignment horizontal="right" vertical="center"/>
    </xf>
    <xf numFmtId="41" fontId="30" fillId="0" borderId="0" xfId="20" applyNumberFormat="1" applyAlignment="1">
      <alignment horizontal="left"/>
    </xf>
    <xf numFmtId="179" fontId="30" fillId="0" borderId="0" xfId="20" applyNumberFormat="1" applyAlignment="1">
      <alignment horizontal="left"/>
    </xf>
    <xf numFmtId="2" fontId="47" fillId="0" borderId="0" xfId="0" applyNumberFormat="1" applyFont="1" applyAlignment="1">
      <alignment horizontal="right" indent="2"/>
    </xf>
    <xf numFmtId="9" fontId="0" fillId="0" borderId="0" xfId="12" applyFont="1"/>
    <xf numFmtId="176" fontId="30" fillId="0" borderId="0" xfId="0" applyNumberFormat="1" applyFont="1"/>
    <xf numFmtId="178" fontId="49" fillId="0" borderId="0" xfId="33" applyNumberFormat="1" applyFont="1" applyFill="1" applyAlignment="1">
      <alignment horizontal="center" vertical="center"/>
    </xf>
    <xf numFmtId="0" fontId="39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2" xfId="0" quotePrefix="1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0" fillId="0" borderId="5" xfId="0" quotePrefix="1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5" xfId="0" applyFont="1" applyBorder="1" applyAlignment="1">
      <alignment horizontal="center"/>
    </xf>
  </cellXfs>
  <cellStyles count="69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4 2" xfId="59" xr:uid="{1962B490-9A00-4E27-9643-2FC54AC437E3}"/>
    <cellStyle name="Comma 5" xfId="28" xr:uid="{70FA35DD-5A4C-4F46-9C0F-4EF98207937B}"/>
    <cellStyle name="Comma 5 2" xfId="31" xr:uid="{1A54A7D5-5C84-48D6-943B-F788A3F8D756}"/>
    <cellStyle name="Comma 5 2 2" xfId="64" xr:uid="{52820DF5-9A1A-4F65-811C-12E350C4A452}"/>
    <cellStyle name="Comma 5 3" xfId="61" xr:uid="{66B0EFF1-9B5C-4010-8FFD-B7EBF2B47072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0 2" xfId="60" xr:uid="{E126FF74-8F35-46C0-B499-BB9FB7C0492D}"/>
    <cellStyle name="Normal 11" xfId="29" xr:uid="{4B9E3B86-F018-48E8-A1B7-B09DE503DA20}"/>
    <cellStyle name="Normal 11 10" xfId="48" xr:uid="{B0B7CAAA-7091-450F-85C9-52BED8D28969}"/>
    <cellStyle name="Normal 11 10 2" xfId="68" xr:uid="{9A95CB22-B964-41F2-92CA-C3C560A238E3}"/>
    <cellStyle name="Normal 11 11" xfId="62" xr:uid="{E3FE90C6-7CCC-48DA-835F-769A18F811F8}"/>
    <cellStyle name="Normal 11 12" xfId="66" xr:uid="{24A271D4-02AB-41AD-A39D-32AAEBED943C}"/>
    <cellStyle name="Normal 11 2" xfId="30" xr:uid="{75FDC25E-C28E-497B-82EF-A28CA2584098}"/>
    <cellStyle name="Normal 11 2 2" xfId="40" xr:uid="{AF392839-9EFD-46E7-9522-B670F46A3E86}"/>
    <cellStyle name="Normal 11 2 3" xfId="63" xr:uid="{862C7908-EC11-44E3-B785-2E62204B1971}"/>
    <cellStyle name="Normal 11 3" xfId="32" xr:uid="{5440E113-77DF-4DAD-9026-4858CCB03DB9}"/>
    <cellStyle name="Normal 11 3 2" xfId="43" xr:uid="{8321DB1C-E877-443D-8A22-A2E591665B83}"/>
    <cellStyle name="Normal 11 3 3" xfId="65" xr:uid="{4E905B9F-EF70-4EAF-9DFC-D3D7C0096B62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2 2" xfId="49" xr:uid="{3BCF6672-671D-4690-A776-FA31F543923C}"/>
    <cellStyle name="Normal 11 6 3" xfId="44" xr:uid="{8D99E9BD-AF94-4306-8B61-749EAEFE8FD0}"/>
    <cellStyle name="Normal 11 6 3 2" xfId="47" xr:uid="{E9C554E9-6250-424B-9089-AB0F2F62FF9F}"/>
    <cellStyle name="Normal 11 6 3 2 2" xfId="50" xr:uid="{EE3659D5-A709-4860-9D3D-5E6D362E2A99}"/>
    <cellStyle name="Normal 11 6 3 2 3" xfId="51" xr:uid="{025CF3BB-6F64-4E4B-ADF3-415CE346BA0F}"/>
    <cellStyle name="Normal 11 6 3 2 4" xfId="67" xr:uid="{9D78D10E-E269-408B-B6A3-E1A70287BFD8}"/>
    <cellStyle name="Normal 11 6 4" xfId="46" xr:uid="{8BEB9B88-2ECA-4F90-BDBA-C56B823B5754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5 2 2" xfId="55" xr:uid="{6901B104-248D-416D-85BF-60E7D7CCEE23}"/>
    <cellStyle name="Normal 5 3" xfId="52" xr:uid="{61D29457-DAC5-44A6-B4DB-3F6E4FD534E7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2 2 2" xfId="57" xr:uid="{60A7680C-AE12-46D5-BD48-348BB207A242}"/>
    <cellStyle name="Normal 8 2 3" xfId="54" xr:uid="{111A3AB0-B470-4C6E-9913-EE396C483F4D}"/>
    <cellStyle name="Normal 8 3" xfId="23" xr:uid="{A94EEB1A-B27E-4B51-9834-B757898F882E}"/>
    <cellStyle name="Normal 8 3 2" xfId="56" xr:uid="{456F379F-7F49-43B2-8FF0-6AAF56B0FC27}"/>
    <cellStyle name="Normal 8 4" xfId="53" xr:uid="{81805300-0E1D-454A-9D60-0F01D6190D6C}"/>
    <cellStyle name="Normal 9" xfId="25" xr:uid="{AF562AB2-2E7D-4C04-814F-6AC30A92CE3A}"/>
    <cellStyle name="Normal 9 2" xfId="58" xr:uid="{9E080DFC-9773-4552-A43C-01793D50B659}"/>
    <cellStyle name="Percent" xfId="12" builtinId="5"/>
  </cellStyles>
  <dxfs count="0"/>
  <tableStyles count="0" defaultTableStyle="TableStyleMedium9" defaultPivotStyle="PivotStyleLight16"/>
  <colors>
    <mruColors>
      <color rgb="FFFFFF00"/>
      <color rgb="FFFA6400"/>
      <color rgb="FFFFCF01"/>
      <color rgb="FF00B050"/>
      <color rgb="FF984807"/>
      <color rgb="FF95B3D7"/>
      <color rgb="FFC0504D"/>
      <color rgb="FFC0502F"/>
      <color rgb="FFD9969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1</a:t>
            </a:r>
          </a:p>
          <a:p>
            <a:pPr algn="l">
              <a:defRPr sz="1100"/>
            </a:pPr>
            <a:endParaRPr lang="en-US" sz="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100"/>
            </a:pPr>
            <a:r>
              <a:rPr lang="en-US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Soybean production by region</a:t>
            </a:r>
            <a:endParaRPr lang="en-US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8.220552159598252E-3"/>
          <c:y val="9.68819882275538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3041645785613"/>
          <c:y val="0.20528996207553582"/>
          <c:w val="0.79839301160330634"/>
          <c:h val="0.45300144843528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rgbClr val="4F81BD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EC-45EC-BEC1-14803FCA3DF2}"/>
              </c:ext>
            </c:extLst>
          </c:dPt>
          <c:dPt>
            <c:idx val="1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EC-45EC-BEC1-14803FCA3DF2}"/>
              </c:ext>
            </c:extLst>
          </c:dPt>
          <c:dPt>
            <c:idx val="2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EC-45EC-BEC1-14803FCA3DF2}"/>
              </c:ext>
            </c:extLst>
          </c:dPt>
          <c:dPt>
            <c:idx val="3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EC-45EC-BEC1-14803FCA3DF2}"/>
              </c:ext>
            </c:extLst>
          </c:dPt>
          <c:dPt>
            <c:idx val="4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5EC-45EC-BEC1-14803FCA3DF2}"/>
              </c:ext>
            </c:extLst>
          </c:dPt>
          <c:dPt>
            <c:idx val="5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5EC-45EC-BEC1-14803FCA3DF2}"/>
              </c:ext>
            </c:extLst>
          </c:dPt>
          <c:cat>
            <c:strRef>
              <c:f>'Figure 1'!$A$2:$A$7</c:f>
              <c:strCache>
                <c:ptCount val="6"/>
                <c:pt idx="0">
                  <c:v>Delta</c:v>
                </c:pt>
                <c:pt idx="1">
                  <c:v>Eastern Corn Belt</c:v>
                </c:pt>
                <c:pt idx="2">
                  <c:v>Western Corn Belt</c:v>
                </c:pt>
                <c:pt idx="3">
                  <c:v>Central Plains</c:v>
                </c:pt>
                <c:pt idx="4">
                  <c:v>Northern Plains</c:v>
                </c:pt>
                <c:pt idx="5">
                  <c:v>Other</c:v>
                </c:pt>
              </c:strCache>
            </c:strRef>
          </c:cat>
          <c:val>
            <c:numRef>
              <c:f>'Figure 1'!$B$2:$B$7</c:f>
              <c:numCache>
                <c:formatCode>0.00</c:formatCode>
                <c:ptCount val="6"/>
                <c:pt idx="0">
                  <c:v>344.33</c:v>
                </c:pt>
                <c:pt idx="1">
                  <c:v>1515.7950000000001</c:v>
                </c:pt>
                <c:pt idx="2">
                  <c:v>1231.9849999999999</c:v>
                </c:pt>
                <c:pt idx="3">
                  <c:v>410.59500000000003</c:v>
                </c:pt>
                <c:pt idx="4">
                  <c:v>391.11</c:v>
                </c:pt>
                <c:pt idx="5">
                  <c:v>382.30799999999999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5EC-45EC-BEC1-14803FCA3DF2}"/>
            </c:ext>
          </c:extLst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2023/24*</c:v>
                </c:pt>
              </c:strCache>
            </c:strRef>
          </c:tx>
          <c:spPr>
            <a:solidFill>
              <a:srgbClr val="C0504D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'Figure 1'!$A$2:$A$7</c:f>
              <c:strCache>
                <c:ptCount val="6"/>
                <c:pt idx="0">
                  <c:v>Delta</c:v>
                </c:pt>
                <c:pt idx="1">
                  <c:v>Eastern Corn Belt</c:v>
                </c:pt>
                <c:pt idx="2">
                  <c:v>Western Corn Belt</c:v>
                </c:pt>
                <c:pt idx="3">
                  <c:v>Central Plains</c:v>
                </c:pt>
                <c:pt idx="4">
                  <c:v>Northern Plains</c:v>
                </c:pt>
                <c:pt idx="5">
                  <c:v>Other</c:v>
                </c:pt>
              </c:strCache>
            </c:strRef>
          </c:cat>
          <c:val>
            <c:numRef>
              <c:f>'Figure 1'!$C$2:$C$7</c:f>
              <c:numCache>
                <c:formatCode>0.00</c:formatCode>
                <c:ptCount val="6"/>
                <c:pt idx="0">
                  <c:v>332.64</c:v>
                </c:pt>
                <c:pt idx="1">
                  <c:v>1421.2</c:v>
                </c:pt>
                <c:pt idx="2">
                  <c:v>1171.78</c:v>
                </c:pt>
                <c:pt idx="3">
                  <c:v>463.1</c:v>
                </c:pt>
                <c:pt idx="4">
                  <c:v>405.3</c:v>
                </c:pt>
                <c:pt idx="5">
                  <c:v>411.43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5EC-45EC-BEC1-14803FCA3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21751648"/>
        <c:axId val="1821751232"/>
      </c:barChart>
      <c:catAx>
        <c:axId val="18217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1751232"/>
        <c:crosses val="autoZero"/>
        <c:auto val="1"/>
        <c:lblAlgn val="ctr"/>
        <c:lblOffset val="100"/>
        <c:noMultiLvlLbl val="0"/>
      </c:catAx>
      <c:valAx>
        <c:axId val="18217512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17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832786880261009"/>
          <c:y val="0.12653260571249195"/>
          <c:w val="0.29230766891709548"/>
          <c:h val="6.36316670823386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peanut production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2.407987532024453E-3"/>
          <c:y val="2.2757296936266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32038571597763"/>
          <c:y val="0.25925611105840685"/>
          <c:w val="0.78621111225725604"/>
          <c:h val="0.4461013819055750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2'!$B$1</c:f>
              <c:strCache>
                <c:ptCount val="1"/>
                <c:pt idx="0">
                  <c:v>Alabama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val>
            <c:numRef>
              <c:f>'Figure 2'!$B$2:$B$7</c:f>
              <c:numCache>
                <c:formatCode>0.0</c:formatCode>
                <c:ptCount val="6"/>
                <c:pt idx="0">
                  <c:v>571.54999999999995</c:v>
                </c:pt>
                <c:pt idx="1">
                  <c:v>522.6</c:v>
                </c:pt>
                <c:pt idx="2">
                  <c:v>622.20000000000005</c:v>
                </c:pt>
                <c:pt idx="3">
                  <c:v>609.70000000000005</c:v>
                </c:pt>
                <c:pt idx="4">
                  <c:v>558.9</c:v>
                </c:pt>
                <c:pt idx="5">
                  <c:v>576.15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C-4EF2-9237-ACCA9CFAC032}"/>
            </c:ext>
          </c:extLst>
        </c:ser>
        <c:ser>
          <c:idx val="0"/>
          <c:order val="1"/>
          <c:tx>
            <c:strRef>
              <c:f>'Figure 2'!$C$1</c:f>
              <c:strCache>
                <c:ptCount val="1"/>
                <c:pt idx="0">
                  <c:v>Florida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'Figure 2'!$C$2:$C$7</c:f>
              <c:numCache>
                <c:formatCode>0</c:formatCode>
                <c:ptCount val="6"/>
                <c:pt idx="0">
                  <c:v>564.85</c:v>
                </c:pt>
                <c:pt idx="1">
                  <c:v>589</c:v>
                </c:pt>
                <c:pt idx="2">
                  <c:v>564.4</c:v>
                </c:pt>
                <c:pt idx="3">
                  <c:v>584.6</c:v>
                </c:pt>
                <c:pt idx="4">
                  <c:v>553.79999999999995</c:v>
                </c:pt>
                <c:pt idx="5">
                  <c:v>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C-4EF2-9237-ACCA9CFAC032}"/>
            </c:ext>
          </c:extLst>
        </c:ser>
        <c:ser>
          <c:idx val="2"/>
          <c:order val="2"/>
          <c:tx>
            <c:strRef>
              <c:f>'Figure 2'!$D$1</c:f>
              <c:strCache>
                <c:ptCount val="1"/>
                <c:pt idx="0">
                  <c:v>Georgia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2'!$A$2:$A$7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2023/24*</c:v>
                </c:pt>
              </c:strCache>
            </c:strRef>
          </c:cat>
          <c:val>
            <c:numRef>
              <c:f>'Figure 2'!$D$2:$D$7</c:f>
              <c:numCache>
                <c:formatCode>0</c:formatCode>
                <c:ptCount val="6"/>
                <c:pt idx="0">
                  <c:v>2875.45</c:v>
                </c:pt>
                <c:pt idx="1">
                  <c:v>2752.2</c:v>
                </c:pt>
                <c:pt idx="2">
                  <c:v>3316.6</c:v>
                </c:pt>
                <c:pt idx="3">
                  <c:v>3337.5</c:v>
                </c:pt>
                <c:pt idx="4">
                  <c:v>2890</c:v>
                </c:pt>
                <c:pt idx="5">
                  <c:v>3246.5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B-4293-A21B-56FB7A9B475C}"/>
            </c:ext>
          </c:extLst>
        </c:ser>
        <c:ser>
          <c:idx val="3"/>
          <c:order val="3"/>
          <c:tx>
            <c:strRef>
              <c:f>'Figure 2'!$E$1</c:f>
              <c:strCache>
                <c:ptCount val="1"/>
                <c:pt idx="0">
                  <c:v>North Carolina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'Figure 2'!$E$2:$E$7</c:f>
              <c:numCache>
                <c:formatCode>0.0</c:formatCode>
                <c:ptCount val="6"/>
                <c:pt idx="0">
                  <c:v>379.26</c:v>
                </c:pt>
                <c:pt idx="1">
                  <c:v>448.8</c:v>
                </c:pt>
                <c:pt idx="2">
                  <c:v>409.5</c:v>
                </c:pt>
                <c:pt idx="3">
                  <c:v>495.9</c:v>
                </c:pt>
                <c:pt idx="4">
                  <c:v>510.4</c:v>
                </c:pt>
                <c:pt idx="5">
                  <c:v>550.4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F-4BD7-AD74-AB2CF7D94502}"/>
            </c:ext>
          </c:extLst>
        </c:ser>
        <c:ser>
          <c:idx val="4"/>
          <c:order val="4"/>
          <c:tx>
            <c:strRef>
              <c:f>'Figure 2'!$F$1</c:f>
              <c:strCache>
                <c:ptCount val="1"/>
                <c:pt idx="0">
                  <c:v>South Carolina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'Figure 2'!$F$2:$F$6</c:f>
              <c:numCache>
                <c:formatCode>General</c:formatCode>
                <c:ptCount val="5"/>
                <c:pt idx="0">
                  <c:v>272</c:v>
                </c:pt>
                <c:pt idx="1">
                  <c:v>235.6</c:v>
                </c:pt>
                <c:pt idx="2">
                  <c:v>296</c:v>
                </c:pt>
                <c:pt idx="3">
                  <c:v>277.2</c:v>
                </c:pt>
                <c:pt idx="4">
                  <c:v>285.60000000000002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4F-4BD7-AD74-AB2CF7D94502}"/>
            </c:ext>
          </c:extLst>
        </c:ser>
        <c:ser>
          <c:idx val="5"/>
          <c:order val="5"/>
          <c:tx>
            <c:strRef>
              <c:f>'Figure 2'!$G$1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'Figure 2'!$G$2:$G$7</c:f>
              <c:numCache>
                <c:formatCode>General</c:formatCode>
                <c:ptCount val="6"/>
                <c:pt idx="0">
                  <c:v>464</c:v>
                </c:pt>
                <c:pt idx="1">
                  <c:v>488</c:v>
                </c:pt>
                <c:pt idx="2" formatCode="0">
                  <c:v>484.5</c:v>
                </c:pt>
                <c:pt idx="3" formatCode="0">
                  <c:v>578.34</c:v>
                </c:pt>
                <c:pt idx="4">
                  <c:v>336</c:v>
                </c:pt>
                <c:pt idx="5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4F-4BD7-AD74-AB2CF7D94502}"/>
            </c:ext>
          </c:extLst>
        </c:ser>
        <c:ser>
          <c:idx val="6"/>
          <c:order val="6"/>
          <c:tx>
            <c:strRef>
              <c:f>'Figure 2'!$H$1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2'!$H$2:$H$7</c:f>
              <c:numCache>
                <c:formatCode>0.0</c:formatCode>
                <c:ptCount val="6"/>
                <c:pt idx="0">
                  <c:v>368.82500000000073</c:v>
                </c:pt>
                <c:pt idx="1">
                  <c:v>430.28700000000026</c:v>
                </c:pt>
                <c:pt idx="2">
                  <c:v>465.15000000000055</c:v>
                </c:pt>
                <c:pt idx="3">
                  <c:v>478.09100000000035</c:v>
                </c:pt>
                <c:pt idx="4">
                  <c:v>433.44999999999982</c:v>
                </c:pt>
                <c:pt idx="5" formatCode="General">
                  <c:v>463.20000000000101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4F-4BD7-AD74-AB2CF7D94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3284866684240891"/>
              <c:y val="0.82411814185877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900"/>
              </a:p>
              <a:p>
                <a:pPr algn="l">
                  <a:defRPr/>
                </a:pPr>
                <a:r>
                  <a:rPr lang="en-US" sz="900" baseline="0"/>
                  <a:t>Million pounds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030842760375477E-2"/>
              <c:y val="0.135926888656990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7287113128326206E-2"/>
          <c:y val="0.11594522973784901"/>
          <c:w val="0.8694083042487073"/>
          <c:h val="5.03663173993014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3</a:t>
            </a: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Rapeseed export prices, Vancouver, Canada 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3.6361800928730067E-3"/>
          <c:y val="6.28931800191642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838822778731599E-2"/>
          <c:y val="0.24152994671652667"/>
          <c:w val="0.85671571004735547"/>
          <c:h val="0.4984249773962201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3'!$B$2</c:f>
              <c:strCache>
                <c:ptCount val="1"/>
                <c:pt idx="0">
                  <c:v>2021/22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'Figure 3'!$A$3:$A$14</c:f>
              <c:strCache>
                <c:ptCount val="12"/>
                <c:pt idx="0">
                  <c:v>Aug.</c:v>
                </c:pt>
                <c:pt idx="1">
                  <c:v>Sep.</c:v>
                </c:pt>
                <c:pt idx="2">
                  <c:v>Oct.</c:v>
                </c:pt>
                <c:pt idx="3">
                  <c:v>Nov.</c:v>
                </c:pt>
                <c:pt idx="4">
                  <c:v>Dec.</c:v>
                </c:pt>
                <c:pt idx="5">
                  <c:v>Jan.</c:v>
                </c:pt>
                <c:pt idx="6">
                  <c:v>Feb.</c:v>
                </c:pt>
                <c:pt idx="7">
                  <c:v>Mar.</c:v>
                </c:pt>
                <c:pt idx="8">
                  <c:v>Apr.</c:v>
                </c:pt>
                <c:pt idx="9">
                  <c:v>May</c:v>
                </c:pt>
                <c:pt idx="10">
                  <c:v>Jun.</c:v>
                </c:pt>
                <c:pt idx="11">
                  <c:v>Jul.</c:v>
                </c:pt>
              </c:strCache>
            </c:strRef>
          </c:cat>
          <c:val>
            <c:numRef>
              <c:f>'Figure 3'!$B$3:$B$14</c:f>
              <c:numCache>
                <c:formatCode>0</c:formatCode>
                <c:ptCount val="12"/>
                <c:pt idx="0">
                  <c:v>778.31818181818198</c:v>
                </c:pt>
                <c:pt idx="1">
                  <c:v>765.90909090909088</c:v>
                </c:pt>
                <c:pt idx="2">
                  <c:v>804.66666666666663</c:v>
                </c:pt>
                <c:pt idx="3">
                  <c:v>870.72727272727275</c:v>
                </c:pt>
                <c:pt idx="4">
                  <c:v>856</c:v>
                </c:pt>
                <c:pt idx="5">
                  <c:v>866.52380952380952</c:v>
                </c:pt>
                <c:pt idx="6">
                  <c:v>866.35</c:v>
                </c:pt>
                <c:pt idx="7">
                  <c:v>940.95652173913038</c:v>
                </c:pt>
                <c:pt idx="8">
                  <c:v>979.61904761904759</c:v>
                </c:pt>
                <c:pt idx="9">
                  <c:v>963.31818181818187</c:v>
                </c:pt>
                <c:pt idx="10">
                  <c:v>865.59090909090912</c:v>
                </c:pt>
                <c:pt idx="11">
                  <c:v>720.04761904761904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F5-46CC-84C8-AA63411F7B61}"/>
            </c:ext>
          </c:extLst>
        </c:ser>
        <c:ser>
          <c:idx val="0"/>
          <c:order val="1"/>
          <c:tx>
            <c:strRef>
              <c:f>'Figure 3'!$C$2</c:f>
              <c:strCache>
                <c:ptCount val="1"/>
                <c:pt idx="0">
                  <c:v>2022/23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'Figure 3'!$C$3:$C$14</c:f>
              <c:numCache>
                <c:formatCode>0</c:formatCode>
                <c:ptCount val="12"/>
                <c:pt idx="0">
                  <c:v>702.73913043478262</c:v>
                </c:pt>
                <c:pt idx="1">
                  <c:v>655.22727272727275</c:v>
                </c:pt>
                <c:pt idx="2">
                  <c:v>681.1</c:v>
                </c:pt>
                <c:pt idx="3">
                  <c:v>689.59090909090912</c:v>
                </c:pt>
                <c:pt idx="4">
                  <c:v>683.77272727272725</c:v>
                </c:pt>
                <c:pt idx="5">
                  <c:v>672.63636363636363</c:v>
                </c:pt>
                <c:pt idx="6">
                  <c:v>666.5</c:v>
                </c:pt>
                <c:pt idx="7">
                  <c:v>620.39130434782612</c:v>
                </c:pt>
                <c:pt idx="8">
                  <c:v>604.54999999999995</c:v>
                </c:pt>
                <c:pt idx="9">
                  <c:v>572.86956521739125</c:v>
                </c:pt>
                <c:pt idx="10">
                  <c:v>581.72727272727275</c:v>
                </c:pt>
                <c:pt idx="11">
                  <c:v>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F5-46CC-84C8-AA63411F7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Date</a:t>
                </a:r>
              </a:p>
            </c:rich>
          </c:tx>
          <c:layout>
            <c:manualLayout>
              <c:xMode val="edge"/>
              <c:yMode val="edge"/>
              <c:x val="0.46513370442745483"/>
              <c:y val="0.854514611258876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tickMarkSkip val="1"/>
        <c:noMultiLvlLbl val="0"/>
      </c:catAx>
      <c:valAx>
        <c:axId val="667170632"/>
        <c:scaling>
          <c:orientation val="minMax"/>
          <c:max val="1000"/>
          <c:min val="3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Dollars</a:t>
                </a:r>
                <a:r>
                  <a:rPr lang="en-US" sz="900" baseline="0"/>
                  <a:t> per</a:t>
                </a:r>
                <a:r>
                  <a:rPr lang="en-US" sz="900"/>
                  <a:t> metric ton</a:t>
                </a:r>
              </a:p>
            </c:rich>
          </c:tx>
          <c:layout>
            <c:manualLayout>
              <c:xMode val="edge"/>
              <c:yMode val="edge"/>
              <c:x val="8.1457655807230748E-3"/>
              <c:y val="0.159795775946066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825838762034763"/>
          <c:y val="0.11412416700217586"/>
          <c:w val="0.25593748203615629"/>
          <c:h val="6.1328660405295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501014</xdr:colOff>
      <xdr:row>0</xdr:row>
      <xdr:rowOff>150495</xdr:rowOff>
    </xdr:from>
    <xdr:to>
      <xdr:col>14</xdr:col>
      <xdr:colOff>594359</xdr:colOff>
      <xdr:row>22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B8D407-07D6-4E20-9479-8D407A160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0.00254</cdr:x>
      <cdr:y>0.74422</cdr:y>
    </cdr:from>
    <cdr:to>
      <cdr:x>0.99393</cdr:x>
      <cdr:y>0.99321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F93A74A-6ABF-4BFB-9669-1E205E5DACBB}"/>
            </a:ext>
          </a:extLst>
        </cdr:cNvPr>
        <cdr:cNvSpPr/>
      </cdr:nvSpPr>
      <cdr:spPr>
        <a:xfrm xmlns:a="http://schemas.openxmlformats.org/drawingml/2006/main">
          <a:off x="14521" y="2638426"/>
          <a:ext cx="5667682" cy="8827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Delta: Arkansas, Louisiana, and Mississippi; Eastern Corn Belt: Illinois, Indiana, Ohio, Michigan, and Wisconsin; Western Corn Belt: Iowa, Minnesota, and Missouri; Central Plains: Kansas and Nebraska; Northern Plains: North Dakota and South Dakota; and "Other" includes remaining States. </a:t>
          </a:r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Asterisk (*) denotes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August forecast. Marketing years begin September 1 and end August 31.</a:t>
          </a:r>
        </a:p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National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Agricultural Statistics Service Quickstats </a:t>
          </a:r>
          <a:r>
            <a:rPr lang="en-US" sz="90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0.01448</cdr:x>
      <cdr:y>0.13363</cdr:y>
    </cdr:from>
    <cdr:to>
      <cdr:x>0.16654</cdr:x>
      <cdr:y>0.1804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FF2DE771-20AE-430C-AADC-FDC5E004D32C}"/>
            </a:ext>
          </a:extLst>
        </cdr:cNvPr>
        <cdr:cNvSpPr/>
      </cdr:nvSpPr>
      <cdr:spPr bwMode="auto">
        <a:xfrm xmlns:a="http://schemas.openxmlformats.org/drawingml/2006/main">
          <a:off x="76191" y="457200"/>
          <a:ext cx="800111" cy="1600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Million bushels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426720</xdr:colOff>
      <xdr:row>0</xdr:row>
      <xdr:rowOff>0</xdr:rowOff>
    </xdr:from>
    <xdr:to>
      <xdr:col>19</xdr:col>
      <xdr:colOff>53340</xdr:colOff>
      <xdr:row>22</xdr:row>
      <xdr:rowOff>15240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B5733D9-9587-460D-AE5F-104EA64A8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0.87711</cdr:y>
    </cdr:from>
    <cdr:to>
      <cdr:x>1</cdr:x>
      <cdr:y>0.99409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467100"/>
          <a:ext cx="6543675" cy="462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"Other"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includes Arkansas, Mississippi, New Mexico, Oklahoma, Texas, and Virginia.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National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Agricultural Statistics Service Quickstats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200022</xdr:colOff>
      <xdr:row>0</xdr:row>
      <xdr:rowOff>0</xdr:rowOff>
    </xdr:from>
    <xdr:to>
      <xdr:col>14</xdr:col>
      <xdr:colOff>276225</xdr:colOff>
      <xdr:row>22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074A63-EF8E-4747-9246-3F6663793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0.90604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4128607"/>
          <a:ext cx="6730368" cy="428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International Grains Council.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6640625" defaultRowHeight="13.8"/>
  <cols>
    <col min="1" max="1" width="166.88671875" style="12" customWidth="1"/>
    <col min="2" max="16384" width="9.6640625" style="1"/>
  </cols>
  <sheetData>
    <row r="1" spans="1:3">
      <c r="A1" s="7" t="s">
        <v>0</v>
      </c>
      <c r="B1" s="101"/>
      <c r="C1" s="101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101"/>
    </row>
    <row r="5" spans="1:3">
      <c r="A5" s="10" t="s">
        <v>3</v>
      </c>
      <c r="B5" s="4"/>
      <c r="C5" s="101"/>
    </row>
    <row r="6" spans="1:3">
      <c r="A6" s="10" t="s">
        <v>4</v>
      </c>
      <c r="B6" s="4"/>
      <c r="C6" s="101"/>
    </row>
    <row r="7" spans="1:3">
      <c r="A7" s="10" t="s">
        <v>5</v>
      </c>
      <c r="B7" s="4"/>
      <c r="C7" s="101"/>
    </row>
    <row r="8" spans="1:3">
      <c r="A8" s="10" t="s">
        <v>6</v>
      </c>
      <c r="B8" s="4"/>
      <c r="C8" s="101"/>
    </row>
    <row r="9" spans="1:3">
      <c r="A9" s="10" t="s">
        <v>7</v>
      </c>
      <c r="B9" s="4"/>
      <c r="C9" s="101"/>
    </row>
    <row r="10" spans="1:3">
      <c r="A10" s="10" t="s">
        <v>8</v>
      </c>
      <c r="B10" s="4"/>
      <c r="C10" s="101"/>
    </row>
    <row r="11" spans="1:3">
      <c r="A11" s="10" t="s">
        <v>9</v>
      </c>
      <c r="B11" s="4"/>
      <c r="C11" s="101"/>
    </row>
    <row r="12" spans="1:3">
      <c r="A12" s="10" t="s">
        <v>10</v>
      </c>
      <c r="B12" s="4"/>
      <c r="C12" s="101"/>
    </row>
    <row r="13" spans="1:3">
      <c r="A13" s="11" t="s">
        <v>11</v>
      </c>
      <c r="B13" s="4"/>
      <c r="C13" s="101"/>
    </row>
    <row r="14" spans="1:3" ht="13.2">
      <c r="A14" s="101"/>
      <c r="B14" s="101"/>
      <c r="C14" s="101"/>
    </row>
    <row r="15" spans="1:3">
      <c r="A15" s="7" t="s">
        <v>12</v>
      </c>
      <c r="B15" s="101"/>
      <c r="C15" s="101"/>
    </row>
    <row r="16" spans="1:3">
      <c r="A16" s="9">
        <v>45153</v>
      </c>
      <c r="B16" s="101"/>
      <c r="C16" s="101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ABA5-FF6A-4C66-8593-900333E12A84}">
  <dimension ref="A1:H23"/>
  <sheetViews>
    <sheetView zoomScaleNormal="100" workbookViewId="0"/>
  </sheetViews>
  <sheetFormatPr defaultColWidth="9.109375" defaultRowHeight="13.2"/>
  <cols>
    <col min="1" max="1" width="12.6640625" style="109" bestFit="1" customWidth="1"/>
    <col min="2" max="2" width="12.88671875" style="109" customWidth="1"/>
    <col min="5" max="5" width="12.5546875" style="109" customWidth="1"/>
    <col min="6" max="6" width="13.6640625" style="109" customWidth="1"/>
    <col min="7" max="7" width="9.109375" style="109"/>
    <col min="8" max="8" width="11.5546875" style="109" bestFit="1" customWidth="1"/>
    <col min="9" max="16384" width="9.109375" style="109"/>
  </cols>
  <sheetData>
    <row r="1" spans="1:8" ht="26.4">
      <c r="A1" s="115" t="s">
        <v>158</v>
      </c>
      <c r="B1" s="115" t="s">
        <v>166</v>
      </c>
      <c r="C1" s="115" t="s">
        <v>167</v>
      </c>
      <c r="D1" s="115" t="s">
        <v>168</v>
      </c>
      <c r="E1" s="115" t="s">
        <v>169</v>
      </c>
      <c r="F1" s="115" t="s">
        <v>170</v>
      </c>
      <c r="G1" s="115" t="s">
        <v>171</v>
      </c>
      <c r="H1" s="115" t="s">
        <v>165</v>
      </c>
    </row>
    <row r="2" spans="1:8">
      <c r="A2" s="116" t="s">
        <v>118</v>
      </c>
      <c r="B2" s="128">
        <v>571.54999999999995</v>
      </c>
      <c r="C2" s="129">
        <v>564.85</v>
      </c>
      <c r="D2" s="129">
        <v>2875.45</v>
      </c>
      <c r="E2" s="132">
        <v>379.26</v>
      </c>
      <c r="F2" s="109">
        <v>272</v>
      </c>
      <c r="G2" s="109">
        <v>464</v>
      </c>
      <c r="H2" s="132">
        <v>368.82500000000073</v>
      </c>
    </row>
    <row r="3" spans="1:8">
      <c r="A3" s="116" t="s">
        <v>119</v>
      </c>
      <c r="B3" s="128">
        <v>522.6</v>
      </c>
      <c r="C3" s="129">
        <v>589</v>
      </c>
      <c r="D3" s="129">
        <v>2752.2</v>
      </c>
      <c r="E3" s="132">
        <v>448.8</v>
      </c>
      <c r="F3" s="109">
        <v>235.6</v>
      </c>
      <c r="G3" s="109">
        <v>488</v>
      </c>
      <c r="H3" s="132">
        <v>430.28700000000026</v>
      </c>
    </row>
    <row r="4" spans="1:8">
      <c r="A4" s="116" t="s">
        <v>120</v>
      </c>
      <c r="B4" s="128">
        <v>622.20000000000005</v>
      </c>
      <c r="C4" s="129">
        <v>564.4</v>
      </c>
      <c r="D4" s="129">
        <v>3316.6</v>
      </c>
      <c r="E4" s="132">
        <v>409.5</v>
      </c>
      <c r="F4" s="109">
        <v>296</v>
      </c>
      <c r="G4" s="141">
        <v>484.5</v>
      </c>
      <c r="H4" s="132">
        <v>465.15000000000055</v>
      </c>
    </row>
    <row r="5" spans="1:8">
      <c r="A5" s="113" t="s">
        <v>34</v>
      </c>
      <c r="B5" s="128">
        <v>609.70000000000005</v>
      </c>
      <c r="C5" s="129">
        <v>584.6</v>
      </c>
      <c r="D5" s="129">
        <v>3337.5</v>
      </c>
      <c r="E5" s="132">
        <v>495.9</v>
      </c>
      <c r="F5" s="109">
        <v>277.2</v>
      </c>
      <c r="G5" s="141">
        <v>578.34</v>
      </c>
      <c r="H5" s="132">
        <v>478.09100000000035</v>
      </c>
    </row>
    <row r="6" spans="1:8">
      <c r="A6" s="113" t="s">
        <v>53</v>
      </c>
      <c r="B6" s="128">
        <v>558.9</v>
      </c>
      <c r="C6" s="129">
        <v>553.79999999999995</v>
      </c>
      <c r="D6" s="129">
        <v>2890</v>
      </c>
      <c r="E6" s="132">
        <v>510.4</v>
      </c>
      <c r="F6" s="109">
        <v>285.60000000000002</v>
      </c>
      <c r="G6" s="109">
        <v>336</v>
      </c>
      <c r="H6" s="132">
        <v>433.44999999999982</v>
      </c>
    </row>
    <row r="7" spans="1:8">
      <c r="A7" s="113" t="s">
        <v>159</v>
      </c>
      <c r="B7" s="128">
        <v>576.15</v>
      </c>
      <c r="C7" s="129">
        <v>627</v>
      </c>
      <c r="D7" s="129">
        <v>3246.5</v>
      </c>
      <c r="E7" s="132">
        <v>550.4</v>
      </c>
      <c r="F7" s="109">
        <v>311.60000000000002</v>
      </c>
      <c r="G7" s="109">
        <v>445</v>
      </c>
      <c r="H7" s="109">
        <v>463.20000000000101</v>
      </c>
    </row>
    <row r="8" spans="1:8">
      <c r="B8" s="128"/>
      <c r="C8" s="128"/>
      <c r="D8" s="128"/>
      <c r="E8" s="128"/>
      <c r="F8" s="128"/>
      <c r="G8" s="128"/>
      <c r="H8" s="128"/>
    </row>
    <row r="9" spans="1:8">
      <c r="B9" s="124"/>
      <c r="C9" s="110"/>
      <c r="D9" s="159"/>
      <c r="E9" s="134"/>
    </row>
    <row r="10" spans="1:8">
      <c r="B10" s="120"/>
      <c r="D10" s="122"/>
    </row>
    <row r="11" spans="1:8">
      <c r="B11" s="120"/>
      <c r="D11" s="122"/>
    </row>
    <row r="12" spans="1:8">
      <c r="B12" s="120"/>
      <c r="D12" s="160"/>
      <c r="E12" s="133"/>
    </row>
    <row r="13" spans="1:8">
      <c r="B13" s="120"/>
    </row>
    <row r="14" spans="1:8">
      <c r="B14" s="120"/>
    </row>
    <row r="15" spans="1:8">
      <c r="B15" s="120"/>
    </row>
    <row r="16" spans="1:8">
      <c r="B16" s="120"/>
    </row>
    <row r="17" spans="1:2" customFormat="1">
      <c r="A17" s="109"/>
      <c r="B17" s="120"/>
    </row>
    <row r="18" spans="1:2" customFormat="1">
      <c r="A18" s="109"/>
      <c r="B18" s="120"/>
    </row>
    <row r="19" spans="1:2" customFormat="1">
      <c r="A19" s="109"/>
      <c r="B19" s="120"/>
    </row>
    <row r="20" spans="1:2" customFormat="1">
      <c r="A20" s="109"/>
      <c r="B20" s="120"/>
    </row>
    <row r="21" spans="1:2" customFormat="1">
      <c r="A21" s="109"/>
      <c r="B21" s="120"/>
    </row>
    <row r="22" spans="1:2" customFormat="1">
      <c r="A22" s="109"/>
      <c r="B22" s="120"/>
    </row>
    <row r="23" spans="1:2" customFormat="1">
      <c r="A23" s="109"/>
      <c r="B23" s="120"/>
    </row>
  </sheetData>
  <phoneticPr fontId="32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921D-EE91-4B39-9396-861EDF1BA3CB}">
  <dimension ref="A1:O55"/>
  <sheetViews>
    <sheetView zoomScaleNormal="100" workbookViewId="0">
      <pane xSplit="1" ySplit="2" topLeftCell="B3" activePane="bottomRight" state="frozen"/>
      <selection pane="topRight" activeCell="R22" sqref="R22"/>
      <selection pane="bottomLeft" activeCell="R22" sqref="R22"/>
      <selection pane="bottomRight"/>
    </sheetView>
  </sheetViews>
  <sheetFormatPr defaultColWidth="9.109375" defaultRowHeight="13.2"/>
  <cols>
    <col min="1" max="1" width="14.33203125" style="119" customWidth="1"/>
    <col min="2" max="2" width="18.44140625" style="119" customWidth="1"/>
    <col min="3" max="16384" width="9.109375" style="119"/>
  </cols>
  <sheetData>
    <row r="1" spans="1:3">
      <c r="B1" s="147" t="s">
        <v>172</v>
      </c>
    </row>
    <row r="2" spans="1:3">
      <c r="A2" s="146" t="s">
        <v>173</v>
      </c>
      <c r="B2" s="145" t="s">
        <v>34</v>
      </c>
      <c r="C2" s="119" t="s">
        <v>53</v>
      </c>
    </row>
    <row r="3" spans="1:3">
      <c r="A3" s="144" t="s">
        <v>174</v>
      </c>
      <c r="B3" s="140">
        <v>778.31818181818198</v>
      </c>
      <c r="C3" s="143">
        <v>702.73913043478262</v>
      </c>
    </row>
    <row r="4" spans="1:3">
      <c r="A4" s="144" t="s">
        <v>175</v>
      </c>
      <c r="B4" s="140">
        <v>765.90909090909088</v>
      </c>
      <c r="C4" s="143">
        <v>655.22727272727275</v>
      </c>
    </row>
    <row r="5" spans="1:3">
      <c r="A5" s="144" t="s">
        <v>176</v>
      </c>
      <c r="B5" s="140">
        <v>804.66666666666663</v>
      </c>
      <c r="C5" s="143">
        <v>681.1</v>
      </c>
    </row>
    <row r="6" spans="1:3">
      <c r="A6" s="144" t="s">
        <v>177</v>
      </c>
      <c r="B6" s="140">
        <v>870.72727272727275</v>
      </c>
      <c r="C6" s="143">
        <v>689.59090909090912</v>
      </c>
    </row>
    <row r="7" spans="1:3">
      <c r="A7" s="144" t="s">
        <v>178</v>
      </c>
      <c r="B7" s="140">
        <v>856</v>
      </c>
      <c r="C7" s="143">
        <v>683.77272727272725</v>
      </c>
    </row>
    <row r="8" spans="1:3">
      <c r="A8" s="144" t="s">
        <v>179</v>
      </c>
      <c r="B8" s="140">
        <v>866.52380952380952</v>
      </c>
      <c r="C8" s="143">
        <v>672.63636363636363</v>
      </c>
    </row>
    <row r="9" spans="1:3">
      <c r="A9" s="144" t="s">
        <v>180</v>
      </c>
      <c r="B9" s="140">
        <v>866.35</v>
      </c>
      <c r="C9" s="143">
        <v>666.5</v>
      </c>
    </row>
    <row r="10" spans="1:3">
      <c r="A10" s="144" t="s">
        <v>181</v>
      </c>
      <c r="B10" s="140">
        <v>940.95652173913038</v>
      </c>
      <c r="C10" s="143">
        <v>620.39130434782612</v>
      </c>
    </row>
    <row r="11" spans="1:3">
      <c r="A11" s="144" t="s">
        <v>182</v>
      </c>
      <c r="B11" s="140">
        <v>979.61904761904759</v>
      </c>
      <c r="C11" s="143">
        <v>604.54999999999995</v>
      </c>
    </row>
    <row r="12" spans="1:3">
      <c r="A12" s="144" t="s">
        <v>47</v>
      </c>
      <c r="B12" s="140">
        <v>963.31818181818187</v>
      </c>
      <c r="C12" s="143">
        <v>572.86956521739125</v>
      </c>
    </row>
    <row r="13" spans="1:3">
      <c r="A13" s="144" t="s">
        <v>183</v>
      </c>
      <c r="B13" s="140">
        <v>865.59090909090912</v>
      </c>
      <c r="C13" s="143">
        <v>581.72727272727275</v>
      </c>
    </row>
    <row r="14" spans="1:3">
      <c r="A14" s="144" t="s">
        <v>184</v>
      </c>
      <c r="B14" s="140">
        <v>720.04761904761904</v>
      </c>
      <c r="C14" s="143">
        <v>643</v>
      </c>
    </row>
    <row r="15" spans="1:3">
      <c r="A15" s="144"/>
      <c r="B15" s="140"/>
      <c r="C15" s="143"/>
    </row>
    <row r="16" spans="1:3">
      <c r="A16" s="144"/>
      <c r="B16" s="140"/>
      <c r="C16" s="143"/>
    </row>
    <row r="17" spans="1:15">
      <c r="A17" s="144"/>
      <c r="B17" s="141"/>
      <c r="C17" s="143"/>
    </row>
    <row r="18" spans="1:15">
      <c r="A18" s="144"/>
      <c r="B18" s="141"/>
      <c r="C18" s="143"/>
    </row>
    <row r="19" spans="1:15">
      <c r="A19" s="144"/>
      <c r="B19" s="143"/>
      <c r="C19" s="143"/>
    </row>
    <row r="20" spans="1:15">
      <c r="A20" s="144"/>
      <c r="B20" s="143"/>
      <c r="C20" s="143"/>
    </row>
    <row r="21" spans="1:15">
      <c r="A21" s="144"/>
      <c r="B21" s="141"/>
      <c r="C21" s="143"/>
    </row>
    <row r="22" spans="1:15">
      <c r="A22" s="144"/>
      <c r="B22" s="141"/>
      <c r="C22" s="143"/>
    </row>
    <row r="23" spans="1:15">
      <c r="A23" s="144"/>
      <c r="B23" s="141"/>
      <c r="C23" s="143"/>
    </row>
    <row r="24" spans="1:15">
      <c r="A24" s="144"/>
      <c r="B24" s="141"/>
      <c r="C24" s="143"/>
    </row>
    <row r="25" spans="1:15">
      <c r="A25" s="144"/>
      <c r="B25" s="141"/>
      <c r="C25" s="143"/>
    </row>
    <row r="26" spans="1:15">
      <c r="A26" s="144"/>
      <c r="B26" s="143"/>
      <c r="C26" s="143"/>
    </row>
    <row r="27" spans="1:15">
      <c r="A27" s="144"/>
      <c r="B27" s="143"/>
      <c r="C27" s="143"/>
    </row>
    <row r="28" spans="1:15">
      <c r="A28" s="144"/>
      <c r="B28" s="141"/>
      <c r="C28" s="143"/>
    </row>
    <row r="29" spans="1:15">
      <c r="A29" s="144"/>
      <c r="B29" s="143"/>
      <c r="C29" s="143"/>
      <c r="O29" s="141"/>
    </row>
    <row r="30" spans="1:15">
      <c r="A30" s="144"/>
      <c r="B30" s="143"/>
      <c r="C30" s="143"/>
      <c r="O30" s="141"/>
    </row>
    <row r="31" spans="1:15">
      <c r="A31" s="144"/>
      <c r="B31" s="141"/>
      <c r="C31" s="143"/>
    </row>
    <row r="32" spans="1:15">
      <c r="A32" s="144"/>
      <c r="B32" s="141"/>
      <c r="C32" s="143"/>
    </row>
    <row r="33" spans="1:3">
      <c r="A33" s="144"/>
      <c r="B33" s="143"/>
      <c r="C33" s="143"/>
    </row>
    <row r="34" spans="1:3">
      <c r="A34" s="144"/>
      <c r="B34" s="143"/>
      <c r="C34" s="143"/>
    </row>
    <row r="35" spans="1:3">
      <c r="A35" s="144"/>
      <c r="B35" s="141"/>
      <c r="C35" s="143"/>
    </row>
    <row r="36" spans="1:3">
      <c r="A36" s="144"/>
      <c r="B36" s="141"/>
      <c r="C36" s="143"/>
    </row>
    <row r="37" spans="1:3">
      <c r="A37" s="144"/>
      <c r="B37" s="141"/>
      <c r="C37" s="143"/>
    </row>
    <row r="38" spans="1:3">
      <c r="A38" s="144"/>
      <c r="B38" s="141"/>
      <c r="C38" s="143"/>
    </row>
    <row r="39" spans="1:3">
      <c r="A39" s="144"/>
      <c r="B39" s="141"/>
      <c r="C39" s="143"/>
    </row>
    <row r="40" spans="1:3">
      <c r="A40" s="144"/>
      <c r="B40" s="141"/>
      <c r="C40" s="143"/>
    </row>
    <row r="41" spans="1:3">
      <c r="A41" s="144"/>
      <c r="B41" s="143"/>
      <c r="C41" s="143"/>
    </row>
    <row r="42" spans="1:3">
      <c r="A42" s="144"/>
      <c r="B42" s="143"/>
      <c r="C42" s="143"/>
    </row>
    <row r="43" spans="1:3">
      <c r="A43" s="144"/>
      <c r="B43" s="141"/>
      <c r="C43" s="143"/>
    </row>
    <row r="44" spans="1:3">
      <c r="A44" s="144"/>
      <c r="B44" s="141"/>
      <c r="C44" s="143"/>
    </row>
    <row r="45" spans="1:3">
      <c r="A45" s="144"/>
      <c r="B45" s="141"/>
      <c r="C45" s="143"/>
    </row>
    <row r="46" spans="1:3">
      <c r="A46" s="144"/>
      <c r="B46" s="141"/>
      <c r="C46" s="143"/>
    </row>
    <row r="47" spans="1:3">
      <c r="A47" s="144"/>
      <c r="B47" s="141"/>
      <c r="C47" s="143"/>
    </row>
    <row r="48" spans="1:3">
      <c r="A48" s="144"/>
      <c r="B48" s="141"/>
      <c r="C48" s="143"/>
    </row>
    <row r="49" spans="1:3">
      <c r="A49" s="144"/>
      <c r="B49" s="141"/>
    </row>
    <row r="50" spans="1:3">
      <c r="A50" s="144"/>
      <c r="B50" s="141"/>
      <c r="C50" s="143"/>
    </row>
    <row r="51" spans="1:3">
      <c r="A51" s="144"/>
      <c r="B51" s="141"/>
      <c r="C51" s="143"/>
    </row>
    <row r="52" spans="1:3">
      <c r="A52" s="144"/>
      <c r="B52" s="141"/>
    </row>
    <row r="53" spans="1:3">
      <c r="A53" s="144"/>
      <c r="B53" s="142"/>
    </row>
    <row r="54" spans="1:3">
      <c r="A54" s="144"/>
    </row>
    <row r="55" spans="1:3">
      <c r="A55" s="14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3"/>
  <sheetViews>
    <sheetView showGridLines="0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3.2"/>
  <cols>
    <col min="1" max="1" width="21.6640625" customWidth="1"/>
    <col min="2" max="2" width="14.109375" customWidth="1"/>
    <col min="3" max="3" width="9.5546875" customWidth="1"/>
    <col min="4" max="4" width="26.6640625" customWidth="1"/>
    <col min="5" max="5" width="9.6640625" customWidth="1"/>
    <col min="6" max="6" width="10.6640625" customWidth="1"/>
    <col min="7" max="7" width="8.6640625" bestFit="1" customWidth="1"/>
    <col min="8" max="8" width="9.6640625" customWidth="1"/>
    <col min="9" max="9" width="1.6640625" customWidth="1"/>
    <col min="10" max="10" width="12.44140625" customWidth="1"/>
    <col min="11" max="12" width="10.6640625" customWidth="1"/>
    <col min="13" max="13" width="10.33203125" customWidth="1"/>
    <col min="14" max="14" width="9.6640625" customWidth="1"/>
    <col min="17" max="17" width="15.44140625" bestFit="1" customWidth="1"/>
    <col min="18" max="18" width="10.109375" bestFit="1" customWidth="1"/>
  </cols>
  <sheetData>
    <row r="1" spans="1:23" ht="13.8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3" ht="13.8">
      <c r="A2" s="15"/>
      <c r="B2" s="16" t="s">
        <v>13</v>
      </c>
      <c r="C2" s="162"/>
      <c r="D2" s="17" t="s">
        <v>14</v>
      </c>
      <c r="E2" s="18"/>
      <c r="F2" s="162" t="s">
        <v>15</v>
      </c>
      <c r="G2" s="162"/>
      <c r="H2" s="162"/>
      <c r="I2" s="15"/>
      <c r="J2" s="18"/>
      <c r="K2" s="162"/>
      <c r="L2" s="19" t="s">
        <v>16</v>
      </c>
      <c r="M2" s="162"/>
      <c r="N2" s="15"/>
    </row>
    <row r="3" spans="1:23" ht="13.8">
      <c r="A3" s="15" t="s">
        <v>17</v>
      </c>
      <c r="B3" s="17" t="s">
        <v>18</v>
      </c>
      <c r="C3" s="15" t="s">
        <v>19</v>
      </c>
      <c r="D3" s="17"/>
      <c r="E3" s="20" t="s">
        <v>20</v>
      </c>
      <c r="F3" s="20"/>
      <c r="G3" s="20"/>
      <c r="H3" s="20"/>
      <c r="I3" s="20"/>
      <c r="J3" s="17" t="s">
        <v>21</v>
      </c>
      <c r="K3" s="20" t="s">
        <v>22</v>
      </c>
      <c r="L3" s="20"/>
      <c r="M3" s="20"/>
      <c r="N3" s="20" t="s">
        <v>23</v>
      </c>
    </row>
    <row r="4" spans="1:23" ht="13.8">
      <c r="A4" s="21" t="s">
        <v>24</v>
      </c>
      <c r="B4" s="22"/>
      <c r="C4" s="22"/>
      <c r="D4" s="22"/>
      <c r="E4" s="23" t="s">
        <v>25</v>
      </c>
      <c r="F4" s="23" t="s">
        <v>26</v>
      </c>
      <c r="G4" s="24" t="s">
        <v>27</v>
      </c>
      <c r="H4" s="25" t="s">
        <v>28</v>
      </c>
      <c r="I4" s="24"/>
      <c r="J4" s="24"/>
      <c r="K4" s="24" t="s">
        <v>29</v>
      </c>
      <c r="L4" s="25" t="s">
        <v>30</v>
      </c>
      <c r="M4" s="23" t="s">
        <v>28</v>
      </c>
      <c r="N4" s="24" t="s">
        <v>25</v>
      </c>
      <c r="W4" s="26"/>
    </row>
    <row r="5" spans="1:23" ht="14.4">
      <c r="A5" s="15"/>
      <c r="B5" s="27" t="s">
        <v>31</v>
      </c>
      <c r="C5" s="163"/>
      <c r="D5" s="28" t="s">
        <v>32</v>
      </c>
      <c r="G5" s="27"/>
      <c r="I5" s="27"/>
      <c r="J5" s="27" t="s">
        <v>33</v>
      </c>
      <c r="K5" s="27"/>
      <c r="L5" s="27"/>
      <c r="M5" s="27"/>
      <c r="N5" s="27"/>
      <c r="W5" s="26"/>
    </row>
    <row r="6" spans="1:23" ht="16.5" customHeight="1">
      <c r="A6" s="15" t="s">
        <v>34</v>
      </c>
      <c r="B6" s="29">
        <v>87.194999999999993</v>
      </c>
      <c r="C6" s="29">
        <v>86.311999999999998</v>
      </c>
      <c r="D6" s="29">
        <f>F6/C6</f>
        <v>51.735355454629712</v>
      </c>
      <c r="E6" s="30">
        <v>256.97899999999998</v>
      </c>
      <c r="F6" s="31">
        <f>F27</f>
        <v>4465.3819999999996</v>
      </c>
      <c r="G6" s="32">
        <f>G27</f>
        <v>15.915255741600001</v>
      </c>
      <c r="H6" s="32">
        <f>SUM(E6:G6)</f>
        <v>4738.2762557415999</v>
      </c>
      <c r="I6" s="15"/>
      <c r="J6" s="31">
        <f>J27</f>
        <v>2203.8901705391709</v>
      </c>
      <c r="K6" s="31">
        <f t="shared" ref="K6" si="0">M6-L6-J6</f>
        <v>107.86113147202877</v>
      </c>
      <c r="L6" s="32">
        <f>L27</f>
        <v>2152.1309537304001</v>
      </c>
      <c r="M6" s="32">
        <f>H6-N6</f>
        <v>4463.8822557415997</v>
      </c>
      <c r="N6" s="32">
        <f>N26</f>
        <v>274.39400000000001</v>
      </c>
    </row>
    <row r="7" spans="1:23" ht="16.5" customHeight="1">
      <c r="A7" s="15" t="s">
        <v>35</v>
      </c>
      <c r="B7" s="29">
        <v>87.45</v>
      </c>
      <c r="C7" s="29">
        <v>86.335999999999999</v>
      </c>
      <c r="D7" s="29">
        <f>F7/C7</f>
        <v>49.528852390659743</v>
      </c>
      <c r="E7" s="30">
        <f>N6</f>
        <v>274.39400000000001</v>
      </c>
      <c r="F7" s="31">
        <v>4276.1229999999996</v>
      </c>
      <c r="G7" s="32">
        <v>30</v>
      </c>
      <c r="H7" s="32">
        <f>SUM(E7:G7)</f>
        <v>4580.5169999999998</v>
      </c>
      <c r="I7" s="15"/>
      <c r="J7" s="31">
        <v>2220</v>
      </c>
      <c r="K7" s="31">
        <v>120.28</v>
      </c>
      <c r="L7" s="32">
        <v>1980</v>
      </c>
      <c r="M7" s="32">
        <f>SUM(J7:L7)</f>
        <v>4320.2800000000007</v>
      </c>
      <c r="N7" s="32">
        <f>H7-M7</f>
        <v>260.23699999999917</v>
      </c>
      <c r="P7" s="125"/>
    </row>
    <row r="8" spans="1:23" ht="16.5" customHeight="1">
      <c r="A8" s="15" t="s">
        <v>36</v>
      </c>
      <c r="B8" s="29">
        <v>83.504999999999995</v>
      </c>
      <c r="C8" s="29">
        <v>82.695999999999998</v>
      </c>
      <c r="D8" s="29">
        <f>F8/C8</f>
        <v>50.854333946019153</v>
      </c>
      <c r="E8" s="30">
        <f>N7</f>
        <v>260.23699999999917</v>
      </c>
      <c r="F8" s="31">
        <v>4205.45</v>
      </c>
      <c r="G8" s="32">
        <v>30</v>
      </c>
      <c r="H8" s="32">
        <f>SUM(E8:G8)</f>
        <v>4495.686999999999</v>
      </c>
      <c r="I8" s="15"/>
      <c r="J8" s="31">
        <v>2300</v>
      </c>
      <c r="K8" s="31">
        <v>125.56</v>
      </c>
      <c r="L8" s="32">
        <v>1825</v>
      </c>
      <c r="M8" s="32">
        <f>SUM(J8:L8)</f>
        <v>4250.5599999999995</v>
      </c>
      <c r="N8" s="32">
        <f>H8-M8</f>
        <v>245.1269999999995</v>
      </c>
      <c r="P8" s="125"/>
    </row>
    <row r="9" spans="1:23" ht="16.5" customHeight="1">
      <c r="A9" s="15"/>
      <c r="B9" s="15"/>
      <c r="C9" s="15"/>
      <c r="D9" s="15"/>
      <c r="E9" s="33"/>
      <c r="F9" s="33"/>
      <c r="G9" s="34"/>
      <c r="H9" s="33"/>
      <c r="I9" s="33"/>
      <c r="J9" s="34"/>
      <c r="K9" s="34"/>
      <c r="L9" s="34"/>
      <c r="M9" s="34"/>
      <c r="N9" s="34"/>
    </row>
    <row r="10" spans="1:23" ht="16.5" customHeight="1">
      <c r="A10" s="35" t="s">
        <v>34</v>
      </c>
      <c r="B10" s="102"/>
      <c r="C10" s="102"/>
      <c r="D10" s="102"/>
      <c r="E10" s="37"/>
      <c r="F10" s="38"/>
      <c r="G10" s="6"/>
      <c r="H10" s="13"/>
      <c r="I10" s="102"/>
      <c r="J10" s="13"/>
      <c r="K10" s="36"/>
      <c r="L10" s="6"/>
      <c r="M10" s="6"/>
      <c r="N10" s="13"/>
    </row>
    <row r="11" spans="1:23" ht="16.5" customHeight="1">
      <c r="A11" s="15" t="s">
        <v>37</v>
      </c>
      <c r="B11" s="102"/>
      <c r="C11" s="102"/>
      <c r="D11" s="107"/>
      <c r="E11" s="37"/>
      <c r="F11" s="38"/>
      <c r="G11" s="6">
        <f>(24488.6*36.744)/1000000</f>
        <v>0.89980911839999989</v>
      </c>
      <c r="I11" s="102"/>
      <c r="J11" s="13">
        <f>((4924574*0.907185)*36.744)/1000000</f>
        <v>164.15380766099736</v>
      </c>
      <c r="K11" s="36"/>
      <c r="L11" s="6">
        <f>(2099065.6*36.744)/1000000</f>
        <v>77.128066406400009</v>
      </c>
      <c r="M11" s="6"/>
      <c r="N11" s="13"/>
      <c r="Q11" s="107"/>
    </row>
    <row r="12" spans="1:23" ht="16.5" customHeight="1">
      <c r="A12" s="15" t="s">
        <v>38</v>
      </c>
      <c r="B12" s="102"/>
      <c r="C12" s="102"/>
      <c r="D12" s="107"/>
      <c r="E12" s="37"/>
      <c r="F12" s="38"/>
      <c r="G12" s="6">
        <f>(19229.4*36.744)/1000000</f>
        <v>0.70656507359999998</v>
      </c>
      <c r="I12" s="102"/>
      <c r="J12" s="13">
        <f>((5908157*0.907185)*36.744)/1000000</f>
        <v>196.9401754972055</v>
      </c>
      <c r="K12" s="36"/>
      <c r="L12" s="6">
        <f>(10694811.7*36.744)/1000000</f>
        <v>392.97016110480001</v>
      </c>
      <c r="M12" s="6"/>
      <c r="N12" s="13"/>
      <c r="Q12" s="107"/>
    </row>
    <row r="13" spans="1:23" ht="16.5" customHeight="1">
      <c r="A13" s="15" t="s">
        <v>39</v>
      </c>
      <c r="B13" s="102"/>
      <c r="C13" s="102"/>
      <c r="D13" s="107"/>
      <c r="E13" s="37"/>
      <c r="F13" s="38"/>
      <c r="G13" s="6">
        <f>(34894.1*36.744)/1000000</f>
        <v>1.2821488103999998</v>
      </c>
      <c r="I13" s="102"/>
      <c r="J13" s="13">
        <f>((5717943*0.907185)*36.744)/1000000</f>
        <v>190.59965703399854</v>
      </c>
      <c r="K13" s="36"/>
      <c r="L13" s="6">
        <f>(10679456.7*36.744)/1000000</f>
        <v>392.40595698479996</v>
      </c>
      <c r="M13" s="6"/>
      <c r="N13" s="13"/>
      <c r="Q13" s="107"/>
    </row>
    <row r="14" spans="1:23" ht="16.5" customHeight="1">
      <c r="A14" s="15" t="s">
        <v>40</v>
      </c>
      <c r="B14" s="102"/>
      <c r="C14" s="102"/>
      <c r="E14" s="37">
        <f>E6</f>
        <v>256.97899999999998</v>
      </c>
      <c r="F14" s="37">
        <f>4465.382</f>
        <v>4465.3819999999996</v>
      </c>
      <c r="G14" s="6">
        <f>SUM(G11:G13)</f>
        <v>2.8885230023999995</v>
      </c>
      <c r="H14" s="13">
        <f>SUM(E14:G14)</f>
        <v>4725.2495230023997</v>
      </c>
      <c r="I14" s="102"/>
      <c r="J14" s="13">
        <f>SUM(J11:J13)</f>
        <v>551.69364019220143</v>
      </c>
      <c r="K14" s="36">
        <f>M14-L14-J14</f>
        <v>174.52769831419835</v>
      </c>
      <c r="L14" s="6">
        <f>SUM(L11:L13)</f>
        <v>862.50418449599999</v>
      </c>
      <c r="M14" s="6">
        <f>H14-N14</f>
        <v>1588.7255230023998</v>
      </c>
      <c r="N14" s="13">
        <v>3136.5239999999999</v>
      </c>
    </row>
    <row r="15" spans="1:23" ht="16.5" customHeight="1">
      <c r="A15" s="15" t="s">
        <v>41</v>
      </c>
      <c r="B15" s="102"/>
      <c r="C15" s="102"/>
      <c r="D15" s="107"/>
      <c r="E15" s="37"/>
      <c r="F15" s="37"/>
      <c r="G15" s="6">
        <f>(27884.8*36.744)/1000000</f>
        <v>1.0245990912</v>
      </c>
      <c r="H15" s="13"/>
      <c r="I15" s="102"/>
      <c r="J15" s="13">
        <f>((5947222*0.907185)*36.744)/1000000</f>
        <v>198.24235280153209</v>
      </c>
      <c r="K15" s="36"/>
      <c r="L15" s="6">
        <f>(7936612.7*36.744)/1000000</f>
        <v>291.62289704879998</v>
      </c>
      <c r="M15" s="6"/>
      <c r="N15" s="13"/>
    </row>
    <row r="16" spans="1:23" ht="16.5" customHeight="1">
      <c r="A16" s="15" t="s">
        <v>42</v>
      </c>
      <c r="B16" s="102"/>
      <c r="C16" s="102"/>
      <c r="D16" s="107"/>
      <c r="E16" s="37"/>
      <c r="F16" s="37"/>
      <c r="G16" s="6">
        <f>(23985.1*36.744)/1000000</f>
        <v>0.88130851440000002</v>
      </c>
      <c r="H16" s="13"/>
      <c r="I16" s="102"/>
      <c r="J16" s="13">
        <f>((5828974*0.907185)*36.744)/1000000</f>
        <v>194.30072060181334</v>
      </c>
      <c r="K16" s="36"/>
      <c r="L16" s="6">
        <f>(6529270.8*36.744)/1000000</f>
        <v>239.91152627519998</v>
      </c>
      <c r="M16" s="6"/>
      <c r="N16" s="13"/>
    </row>
    <row r="17" spans="1:17" ht="16.5" customHeight="1">
      <c r="A17" s="15" t="s">
        <v>43</v>
      </c>
      <c r="B17" s="102"/>
      <c r="C17" s="102"/>
      <c r="D17" s="107"/>
      <c r="E17" s="37"/>
      <c r="F17" s="37"/>
      <c r="G17" s="6">
        <f>(47263.6*36.744)/1000000</f>
        <v>1.7366537183999999</v>
      </c>
      <c r="H17" s="13"/>
      <c r="I17" s="102"/>
      <c r="J17" s="13">
        <f>((5232453*0.907185)*36.744)/1000000</f>
        <v>174.41652483183492</v>
      </c>
      <c r="K17" s="36"/>
      <c r="L17" s="6">
        <f>(3809000.1*36.744)/1000000</f>
        <v>139.95789967440001</v>
      </c>
      <c r="M17" s="6"/>
      <c r="N17" s="13"/>
      <c r="Q17" s="107"/>
    </row>
    <row r="18" spans="1:17" ht="16.5" customHeight="1">
      <c r="A18" s="15" t="s">
        <v>44</v>
      </c>
      <c r="B18" s="102"/>
      <c r="C18" s="102"/>
      <c r="E18" s="37">
        <f>N14</f>
        <v>3136.5239999999999</v>
      </c>
      <c r="F18" s="37"/>
      <c r="G18" s="6">
        <f>SUM(G15:G17)</f>
        <v>3.6425613239999999</v>
      </c>
      <c r="H18" s="13">
        <f>E18+F18+G18</f>
        <v>3140.1665613239998</v>
      </c>
      <c r="I18" s="102"/>
      <c r="J18" s="13">
        <f>SUM(J15:J17)</f>
        <v>566.95959823518035</v>
      </c>
      <c r="K18" s="36">
        <f>M18-L18-J18</f>
        <v>-30.102359909580514</v>
      </c>
      <c r="L18" s="6">
        <f>SUM(L15:L17)</f>
        <v>671.49232299839991</v>
      </c>
      <c r="M18" s="6">
        <f>H18-N18</f>
        <v>1208.3495613239998</v>
      </c>
      <c r="N18" s="13">
        <v>1931.817</v>
      </c>
      <c r="P18" s="39"/>
    </row>
    <row r="19" spans="1:17" ht="16.5" customHeight="1">
      <c r="A19" s="15" t="s">
        <v>45</v>
      </c>
      <c r="B19" s="102"/>
      <c r="C19" s="102"/>
      <c r="D19" s="107"/>
      <c r="E19" s="37"/>
      <c r="F19" s="37"/>
      <c r="G19" s="6">
        <f>(33646.7*36.744)/1000000</f>
        <v>1.2363143447999998</v>
      </c>
      <c r="H19" s="13"/>
      <c r="I19" s="102"/>
      <c r="J19" s="13">
        <f>((5786159*0.907185)*36.744)/1000000</f>
        <v>192.87354227633676</v>
      </c>
      <c r="K19" s="36"/>
      <c r="L19" s="6">
        <f>(3018428.5*36.744)/1000000</f>
        <v>110.909136804</v>
      </c>
      <c r="M19" s="6"/>
      <c r="N19" s="13"/>
      <c r="Q19" s="107"/>
    </row>
    <row r="20" spans="1:17" ht="16.5" customHeight="1">
      <c r="A20" s="15" t="s">
        <v>46</v>
      </c>
      <c r="B20" s="102"/>
      <c r="C20" s="102"/>
      <c r="D20" s="107"/>
      <c r="E20" s="37"/>
      <c r="F20" s="37"/>
      <c r="G20" s="6">
        <f>(49197*36.744)/1000000</f>
        <v>1.8076945680000001</v>
      </c>
      <c r="H20" s="13"/>
      <c r="I20" s="102"/>
      <c r="J20" s="13">
        <f>((5426712*0.907185)*36.744)/1000000</f>
        <v>180.89187772985568</v>
      </c>
      <c r="K20" s="36"/>
      <c r="L20" s="6">
        <f>(3550990.4*36.744)/1000000</f>
        <v>130.47759125759998</v>
      </c>
      <c r="M20" s="6"/>
      <c r="N20" s="13"/>
    </row>
    <row r="21" spans="1:17" ht="16.5" customHeight="1">
      <c r="A21" s="15" t="s">
        <v>47</v>
      </c>
      <c r="B21" s="102"/>
      <c r="C21" s="102"/>
      <c r="D21" s="107"/>
      <c r="E21" s="37"/>
      <c r="F21" s="37"/>
      <c r="G21" s="6">
        <f>(30538.1*36.744)/1000000</f>
        <v>1.1220919464000001</v>
      </c>
      <c r="H21" s="13"/>
      <c r="I21" s="102"/>
      <c r="J21" s="13">
        <f>((5427160*0.907185)*36.744)/1000000</f>
        <v>180.90681118518239</v>
      </c>
      <c r="K21" s="36"/>
      <c r="L21" s="6">
        <f>(2448876.2*36.744)/1000000</f>
        <v>89.981507092800001</v>
      </c>
      <c r="M21" s="6"/>
      <c r="N21" s="13"/>
      <c r="Q21" s="107"/>
    </row>
    <row r="22" spans="1:17" ht="16.5" customHeight="1">
      <c r="A22" s="15" t="s">
        <v>48</v>
      </c>
      <c r="B22" s="102"/>
      <c r="C22" s="102"/>
      <c r="E22" s="37">
        <f>N18</f>
        <v>1931.817</v>
      </c>
      <c r="F22" s="37"/>
      <c r="G22" s="6">
        <f>SUM(G19:G21)</f>
        <v>4.1661008592000002</v>
      </c>
      <c r="H22" s="13">
        <f>E22+F22+G22</f>
        <v>1935.9831008592</v>
      </c>
      <c r="I22" s="102"/>
      <c r="J22" s="13">
        <f>SUM(J19:J21)</f>
        <v>554.67223119137486</v>
      </c>
      <c r="K22" s="36">
        <f>M22-L22-J22</f>
        <v>82.417634513425241</v>
      </c>
      <c r="L22" s="6">
        <f>SUM(L19:L21)</f>
        <v>331.36823515439994</v>
      </c>
      <c r="M22" s="6">
        <f>H22-N22</f>
        <v>968.45810085920004</v>
      </c>
      <c r="N22" s="13">
        <v>967.52499999999998</v>
      </c>
    </row>
    <row r="23" spans="1:17" ht="16.5" customHeight="1">
      <c r="A23" s="15" t="s">
        <v>49</v>
      </c>
      <c r="B23" s="102"/>
      <c r="C23" s="102"/>
      <c r="E23" s="37"/>
      <c r="F23" s="37"/>
      <c r="G23" s="6">
        <f>(21131.7*36.744)/1000000</f>
        <v>0.77646318480000009</v>
      </c>
      <c r="H23" s="13"/>
      <c r="I23" s="102"/>
      <c r="J23" s="13">
        <f>((5222412*0.907185)*36.744)/1000000</f>
        <v>174.08182209760369</v>
      </c>
      <c r="K23" s="36"/>
      <c r="L23" s="6">
        <f>(2256761*36.744)/1000000</f>
        <v>82.922426184000003</v>
      </c>
      <c r="M23" s="6"/>
      <c r="N23" s="13"/>
    </row>
    <row r="24" spans="1:17" ht="16.5" customHeight="1">
      <c r="A24" s="15" t="s">
        <v>50</v>
      </c>
      <c r="B24" s="102"/>
      <c r="C24" s="102"/>
      <c r="E24" s="37"/>
      <c r="F24" s="37"/>
      <c r="G24" s="6">
        <f>(60176.9*36.744)/1000000</f>
        <v>2.2111400136000001</v>
      </c>
      <c r="H24" s="13"/>
      <c r="I24" s="102"/>
      <c r="J24" s="13">
        <f>((5441780*0.907185)*36.744)/1000000</f>
        <v>181.39414849963919</v>
      </c>
      <c r="K24" s="36"/>
      <c r="L24" s="6">
        <f>(2315581.7*36.744)/1000000</f>
        <v>85.083733984800006</v>
      </c>
      <c r="M24" s="6"/>
      <c r="N24" s="13"/>
      <c r="Q24" s="107"/>
    </row>
    <row r="25" spans="1:17" ht="16.5" customHeight="1">
      <c r="A25" s="15" t="s">
        <v>51</v>
      </c>
      <c r="B25" s="102"/>
      <c r="C25" s="102"/>
      <c r="E25" s="37"/>
      <c r="F25" s="37"/>
      <c r="G25" s="6">
        <f>(60702.9*36.744)/1000000</f>
        <v>2.2304673576000003</v>
      </c>
      <c r="H25" s="13"/>
      <c r="I25" s="102"/>
      <c r="J25" s="13">
        <f>((5252619*0.907185)*36.744)/1000000</f>
        <v>175.08873032317118</v>
      </c>
      <c r="K25" s="36"/>
      <c r="L25" s="6">
        <f>(3232093.8*36.744)/1000000</f>
        <v>118.76005458719999</v>
      </c>
      <c r="M25" s="6"/>
      <c r="N25" s="13"/>
    </row>
    <row r="26" spans="1:17" ht="16.5" customHeight="1">
      <c r="A26" s="15" t="s">
        <v>52</v>
      </c>
      <c r="B26" s="102"/>
      <c r="C26" s="102"/>
      <c r="E26" s="37">
        <f>N22</f>
        <v>967.52499999999998</v>
      </c>
      <c r="F26" s="37"/>
      <c r="G26" s="6">
        <f>SUM(G23:G25)</f>
        <v>5.2180705560000007</v>
      </c>
      <c r="H26" s="13">
        <f>E26+F26+G26</f>
        <v>972.74307055600002</v>
      </c>
      <c r="I26" s="102"/>
      <c r="J26" s="13">
        <f>SUM(J23:J25)</f>
        <v>530.564700920414</v>
      </c>
      <c r="K26" s="36">
        <f>M26-L26-J26</f>
        <v>-118.98184512041399</v>
      </c>
      <c r="L26" s="6">
        <f>SUM(L23:L25)</f>
        <v>286.76621475600001</v>
      </c>
      <c r="M26" s="6">
        <f>H26-N26</f>
        <v>698.34907055600002</v>
      </c>
      <c r="N26" s="13">
        <f>274.394</f>
        <v>274.39400000000001</v>
      </c>
    </row>
    <row r="27" spans="1:17" ht="16.5" customHeight="1">
      <c r="A27" s="15" t="s">
        <v>28</v>
      </c>
      <c r="B27" s="102"/>
      <c r="C27" s="102"/>
      <c r="D27" s="102"/>
      <c r="E27" s="37"/>
      <c r="F27" s="37">
        <f>F14</f>
        <v>4465.3819999999996</v>
      </c>
      <c r="G27" s="6">
        <f>(433138.9*36.744)/1000000</f>
        <v>15.915255741600001</v>
      </c>
      <c r="H27" s="13">
        <f>E14+F27+G27</f>
        <v>4738.2762557415999</v>
      </c>
      <c r="I27" s="102"/>
      <c r="J27" s="13">
        <f>SUM(J14,J18,J22,J26)</f>
        <v>2203.8901705391709</v>
      </c>
      <c r="K27" s="36">
        <f>SUM(K14,K18,K22,K26)</f>
        <v>107.86112779762908</v>
      </c>
      <c r="L27" s="130">
        <f>(58570949.1*36.744)/1000000</f>
        <v>2152.1309537304001</v>
      </c>
      <c r="M27" s="6">
        <f>SUM(M14,M18,M22,M26)</f>
        <v>4463.8822557415997</v>
      </c>
      <c r="N27" s="13"/>
      <c r="Q27" s="107"/>
    </row>
    <row r="28" spans="1:17" ht="16.5" customHeight="1">
      <c r="A28" s="15"/>
      <c r="B28" s="102"/>
      <c r="C28" s="102"/>
      <c r="D28" s="102"/>
      <c r="E28" s="37"/>
      <c r="F28" s="37"/>
      <c r="G28" s="6"/>
      <c r="H28" s="13"/>
      <c r="I28" s="102"/>
      <c r="J28" s="13"/>
      <c r="K28" s="36"/>
      <c r="L28" s="6"/>
      <c r="M28" s="6"/>
      <c r="N28" s="13"/>
    </row>
    <row r="29" spans="1:17" ht="16.5" customHeight="1">
      <c r="A29" s="35" t="s">
        <v>53</v>
      </c>
      <c r="B29" s="102"/>
      <c r="C29" s="102"/>
      <c r="D29" s="102"/>
      <c r="E29" s="37"/>
      <c r="F29" s="37"/>
      <c r="G29" s="6"/>
      <c r="H29" s="13"/>
      <c r="I29" s="102"/>
      <c r="J29" s="13"/>
      <c r="K29" s="36"/>
      <c r="L29" s="6"/>
      <c r="M29" s="6"/>
      <c r="N29" s="13"/>
    </row>
    <row r="30" spans="1:17" ht="16.5" customHeight="1">
      <c r="A30" s="15" t="s">
        <v>37</v>
      </c>
      <c r="B30" s="102"/>
      <c r="C30" s="102"/>
      <c r="D30" s="102"/>
      <c r="E30" s="37"/>
      <c r="F30" s="37"/>
      <c r="G30" s="6">
        <f>(31794.8*36.744)/1000000</f>
        <v>1.1682681311999998</v>
      </c>
      <c r="H30" s="13"/>
      <c r="I30" s="102"/>
      <c r="J30" s="6">
        <f>((5028287*0.907185)*36.744)/1000000</f>
        <v>167.6109359027387</v>
      </c>
      <c r="K30" s="36"/>
      <c r="L30" s="6">
        <f>(2077930.3*36.744)/1000000</f>
        <v>76.351470943200013</v>
      </c>
      <c r="M30" s="6"/>
      <c r="N30" s="13"/>
    </row>
    <row r="31" spans="1:17" ht="16.5" customHeight="1">
      <c r="A31" s="15" t="s">
        <v>38</v>
      </c>
      <c r="B31" s="102"/>
      <c r="C31" s="102"/>
      <c r="D31" s="102"/>
      <c r="E31" s="37"/>
      <c r="F31" s="37"/>
      <c r="G31" s="6">
        <f>(33827.2*36.744)/1000000</f>
        <v>1.2429466367999999</v>
      </c>
      <c r="H31" s="13"/>
      <c r="I31" s="102"/>
      <c r="J31" s="6">
        <f>((5899694*0.907185)*36.744)/1000000</f>
        <v>196.65807319267415</v>
      </c>
      <c r="K31" s="36"/>
      <c r="L31" s="6">
        <f>(9947619.5*36.744)/1000000</f>
        <v>365.51533090800001</v>
      </c>
      <c r="M31" s="6"/>
      <c r="N31" s="13"/>
    </row>
    <row r="32" spans="1:17" ht="16.5" customHeight="1">
      <c r="A32" s="15" t="s">
        <v>39</v>
      </c>
      <c r="B32" s="102"/>
      <c r="C32" s="102"/>
      <c r="D32" s="102"/>
      <c r="E32" s="37"/>
      <c r="F32" s="37"/>
      <c r="G32" s="6">
        <f>(35058.7*36.744)/1000000</f>
        <v>1.2881968727999997</v>
      </c>
      <c r="H32" s="13"/>
      <c r="I32" s="102"/>
      <c r="J32" s="6">
        <f>((5687098*0.907185)*36.744)/1000000</f>
        <v>189.57148196803271</v>
      </c>
      <c r="K32" s="36"/>
      <c r="L32" s="6">
        <f>(9794669.4*36.744)/1000000</f>
        <v>359.8953324336</v>
      </c>
      <c r="M32" s="6"/>
      <c r="N32" s="13"/>
    </row>
    <row r="33" spans="1:73" ht="16.5" customHeight="1">
      <c r="A33" s="15" t="s">
        <v>40</v>
      </c>
      <c r="B33" s="102"/>
      <c r="C33" s="102"/>
      <c r="D33" s="102"/>
      <c r="E33" s="37">
        <f>N26</f>
        <v>274.39400000000001</v>
      </c>
      <c r="F33" s="114">
        <f>4276.123</f>
        <v>4276.1229999999996</v>
      </c>
      <c r="G33" s="6">
        <f>SUM(G30:G32)</f>
        <v>3.6994116407999993</v>
      </c>
      <c r="H33" s="13">
        <f>SUM(E33:G33)</f>
        <v>4554.2164116407994</v>
      </c>
      <c r="I33" s="102"/>
      <c r="J33" s="6">
        <f>SUM(J30:J32)</f>
        <v>553.8404910634456</v>
      </c>
      <c r="K33" s="36">
        <f>M33-L33-J33</f>
        <v>177.46178629255371</v>
      </c>
      <c r="L33" s="6">
        <f>SUM(L30:L32)</f>
        <v>801.76213428480003</v>
      </c>
      <c r="M33" s="6">
        <f>H33-N33</f>
        <v>1533.0644116407993</v>
      </c>
      <c r="N33" s="13">
        <f>3021.152</f>
        <v>3021.152</v>
      </c>
    </row>
    <row r="34" spans="1:73" ht="16.5" customHeight="1">
      <c r="A34" s="15" t="s">
        <v>41</v>
      </c>
      <c r="B34" s="102"/>
      <c r="C34" s="102"/>
      <c r="D34" s="102"/>
      <c r="E34" s="37"/>
      <c r="F34" s="114"/>
      <c r="G34" s="6">
        <f>(36017.3*36.744)/1000000</f>
        <v>1.3234196711999999</v>
      </c>
      <c r="H34" s="13"/>
      <c r="I34" s="102"/>
      <c r="J34" s="6">
        <f>((5622561*0.907185)*36.744)/1000000</f>
        <v>187.42023106084403</v>
      </c>
      <c r="K34" s="36"/>
      <c r="L34" s="6">
        <f>(7968849.1*36.744)/1000000</f>
        <v>292.80739133039998</v>
      </c>
      <c r="M34" s="6"/>
      <c r="N34" s="13"/>
    </row>
    <row r="35" spans="1:73" ht="16.5" customHeight="1">
      <c r="A35" s="15" t="s">
        <v>42</v>
      </c>
      <c r="B35" s="102"/>
      <c r="C35" s="102"/>
      <c r="D35" s="102"/>
      <c r="E35" s="37"/>
      <c r="F35" s="114"/>
      <c r="G35" s="6">
        <f>(5893.9*36.744)/1000000</f>
        <v>0.21656546159999998</v>
      </c>
      <c r="H35" s="13"/>
      <c r="I35" s="102"/>
      <c r="J35" s="6">
        <f>((5734398*0.907185)*36.744)/1000000</f>
        <v>191.14816151480471</v>
      </c>
      <c r="K35" s="36"/>
      <c r="L35" s="6">
        <f>(8559125.5*36.744)/1000000</f>
        <v>314.496507372</v>
      </c>
      <c r="M35" s="6"/>
      <c r="N35" s="13"/>
    </row>
    <row r="36" spans="1:73" ht="16.5" customHeight="1">
      <c r="A36" s="15" t="s">
        <v>43</v>
      </c>
      <c r="B36" s="102"/>
      <c r="C36" s="102"/>
      <c r="D36" s="102"/>
      <c r="E36" s="37"/>
      <c r="F36" s="114"/>
      <c r="G36" s="6">
        <f>(27761.8*36.744)/1000000</f>
        <v>1.0200795791999999</v>
      </c>
      <c r="H36" s="13"/>
      <c r="I36" s="102"/>
      <c r="J36" s="6">
        <f>((5306995*0.907185)*36.744)/1000000</f>
        <v>176.9012784634518</v>
      </c>
      <c r="K36" s="36"/>
      <c r="L36" s="6">
        <f>(5374314*36.744)/1000000</f>
        <v>197.47379361599999</v>
      </c>
      <c r="M36" s="6"/>
      <c r="N36" s="13"/>
      <c r="P36" s="39"/>
    </row>
    <row r="37" spans="1:73" ht="16.5" customHeight="1">
      <c r="A37" s="15" t="s">
        <v>44</v>
      </c>
      <c r="B37" s="102"/>
      <c r="C37" s="102"/>
      <c r="D37" s="102"/>
      <c r="E37" s="37">
        <f>N33</f>
        <v>3021.152</v>
      </c>
      <c r="F37" s="114"/>
      <c r="G37" s="6">
        <f>SUM(G34:G36)</f>
        <v>2.560064712</v>
      </c>
      <c r="H37" s="13">
        <f>SUM(E37:G37)</f>
        <v>3023.712064712</v>
      </c>
      <c r="I37" s="102"/>
      <c r="J37" s="6">
        <f>SUM(J34:J36)</f>
        <v>555.4696710391006</v>
      </c>
      <c r="K37" s="36">
        <f>M37-L37-J37</f>
        <v>-23.167298645500523</v>
      </c>
      <c r="L37" s="6">
        <f>SUM(L34:L36)</f>
        <v>804.77769231839989</v>
      </c>
      <c r="M37" s="6">
        <f>H37-N37</f>
        <v>1337.080064712</v>
      </c>
      <c r="N37" s="13">
        <f>1686.632</f>
        <v>1686.6320000000001</v>
      </c>
    </row>
    <row r="38" spans="1:73" ht="16.5" customHeight="1">
      <c r="A38" s="15" t="s">
        <v>45</v>
      </c>
      <c r="B38" s="102"/>
      <c r="C38" s="102"/>
      <c r="D38" s="102"/>
      <c r="E38" s="37"/>
      <c r="F38" s="114"/>
      <c r="G38" s="6">
        <f>(34752.6*36.744)/1000000</f>
        <v>1.2769495343999999</v>
      </c>
      <c r="H38" s="13"/>
      <c r="I38" s="102"/>
      <c r="J38" s="6">
        <f>((5939012*0.907185)*36.744)/1000000</f>
        <v>197.9686838992277</v>
      </c>
      <c r="K38" s="36"/>
      <c r="L38" s="6">
        <f>(3135729.4*36.744)/1000000</f>
        <v>115.21924107359999</v>
      </c>
      <c r="M38" s="6"/>
      <c r="N38" s="13"/>
    </row>
    <row r="39" spans="1:73" ht="16.5" customHeight="1">
      <c r="A39" s="15" t="s">
        <v>46</v>
      </c>
      <c r="B39" s="102"/>
      <c r="C39" s="102"/>
      <c r="D39" s="102"/>
      <c r="E39" s="37"/>
      <c r="F39" s="114"/>
      <c r="G39" s="6">
        <f>(8485.3*36.744)/1000000</f>
        <v>0.31178386319999996</v>
      </c>
      <c r="H39" s="13"/>
      <c r="I39" s="102"/>
      <c r="J39" s="6">
        <f>((5609607*0.907185)*36.744)/1000000</f>
        <v>186.98842753338349</v>
      </c>
      <c r="K39" s="36"/>
      <c r="L39" s="6">
        <f>(2554266.9*36.744)/1000000</f>
        <v>93.853982973599997</v>
      </c>
      <c r="M39" s="6"/>
      <c r="N39" s="13"/>
    </row>
    <row r="40" spans="1:73" ht="16.5" customHeight="1">
      <c r="A40" s="15" t="s">
        <v>47</v>
      </c>
      <c r="B40" s="102"/>
      <c r="C40" s="102"/>
      <c r="D40" s="102"/>
      <c r="E40" s="37"/>
      <c r="F40" s="114"/>
      <c r="G40" s="6">
        <f>(126995.3*36.744)/1000000</f>
        <v>4.6663153032000002</v>
      </c>
      <c r="H40" s="13"/>
      <c r="I40" s="102"/>
      <c r="J40" s="6">
        <f>((5679096*0.907185)*36.744)/1000000</f>
        <v>189.30474645570143</v>
      </c>
      <c r="K40" s="36"/>
      <c r="L40" s="6">
        <f>(986447.6*36.744)/1000000</f>
        <v>36.246030614399999</v>
      </c>
      <c r="M40" s="6"/>
      <c r="N40" s="13"/>
    </row>
    <row r="41" spans="1:73" ht="16.5" customHeight="1">
      <c r="A41" s="15" t="s">
        <v>48</v>
      </c>
      <c r="B41" s="102"/>
      <c r="C41" s="102"/>
      <c r="D41" s="102"/>
      <c r="E41" s="37">
        <f>N37</f>
        <v>1686.6320000000001</v>
      </c>
      <c r="F41" s="114"/>
      <c r="G41" s="6">
        <f>SUM(G38:G40)</f>
        <v>6.2550487007999998</v>
      </c>
      <c r="H41" s="13">
        <f>SUM(E41:G41)</f>
        <v>1692.8870487008001</v>
      </c>
      <c r="I41" s="102"/>
      <c r="J41" s="6">
        <f>SUM(J38:J40)</f>
        <v>574.26185788831265</v>
      </c>
      <c r="K41" s="36">
        <f>M41-L41-J41</f>
        <v>77.734936150887393</v>
      </c>
      <c r="L41" s="6">
        <f>SUM(L38:L40)</f>
        <v>245.31925466159998</v>
      </c>
      <c r="M41" s="6">
        <f>H41-N41</f>
        <v>897.31604870080002</v>
      </c>
      <c r="N41" s="13">
        <f>795.571</f>
        <v>795.57100000000003</v>
      </c>
    </row>
    <row r="42" spans="1:73" ht="16.5" customHeight="1">
      <c r="A42" s="15" t="s">
        <v>49</v>
      </c>
      <c r="B42" s="102"/>
      <c r="C42" s="102"/>
      <c r="D42" s="102"/>
      <c r="E42" s="37"/>
      <c r="F42" s="114"/>
      <c r="G42" s="6">
        <f>(166679*36.744)/1000000</f>
        <v>6.1244531760000003</v>
      </c>
      <c r="H42" s="13"/>
      <c r="I42" s="102"/>
      <c r="J42" s="6">
        <f>((5236516*0.907185)*36.744)/1000000</f>
        <v>174.55195927155023</v>
      </c>
      <c r="K42" s="36"/>
      <c r="L42" s="6">
        <f>(831037.3*36.744)/1000000</f>
        <v>30.535634551200001</v>
      </c>
      <c r="M42" s="6"/>
      <c r="N42" s="13"/>
    </row>
    <row r="43" spans="1:73" ht="16.5" customHeight="1">
      <c r="A43" s="15" t="s">
        <v>28</v>
      </c>
      <c r="B43" s="102"/>
      <c r="C43" s="102"/>
      <c r="D43" s="102"/>
      <c r="E43" s="37"/>
      <c r="F43" s="114"/>
      <c r="G43" s="6">
        <f>SUM(G33,G37,G41,G42)</f>
        <v>18.638978229599999</v>
      </c>
      <c r="H43" s="121"/>
      <c r="I43" s="102"/>
      <c r="J43" s="6">
        <f>SUM(J33,J37,J41,J42)</f>
        <v>1858.123979262409</v>
      </c>
      <c r="K43" s="36"/>
      <c r="L43" s="6">
        <f>SUM(L33,L37,L41,L42)</f>
        <v>1882.3947158159999</v>
      </c>
      <c r="M43" s="6"/>
      <c r="N43" s="13"/>
    </row>
    <row r="44" spans="1:73" ht="16.5" customHeight="1">
      <c r="A44" s="98" t="s">
        <v>54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99"/>
      <c r="M44" s="80"/>
      <c r="N44" s="80"/>
    </row>
    <row r="45" spans="1:73" ht="16.5" customHeight="1">
      <c r="A45" s="15" t="s">
        <v>55</v>
      </c>
      <c r="B45" s="15"/>
      <c r="C45" s="15"/>
      <c r="D45" s="15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73" ht="16.5" customHeight="1">
      <c r="A46" s="20" t="s">
        <v>56</v>
      </c>
      <c r="B46" s="41">
        <f>Contents!A16</f>
        <v>45153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02"/>
      <c r="P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</row>
    <row r="47" spans="1:73">
      <c r="O47" s="102"/>
      <c r="P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</row>
    <row r="48" spans="1:73">
      <c r="O48" s="102"/>
      <c r="P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</row>
    <row r="49" spans="10:73">
      <c r="O49" s="102"/>
      <c r="P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</row>
    <row r="50" spans="10:73">
      <c r="O50" s="102"/>
      <c r="P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</row>
    <row r="51" spans="10:73">
      <c r="J51" s="39"/>
      <c r="L51" s="39"/>
      <c r="O51" s="102"/>
      <c r="P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</row>
    <row r="52" spans="10:73">
      <c r="J52" s="39"/>
      <c r="L52" s="39"/>
      <c r="O52" s="102"/>
      <c r="P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</row>
    <row r="53" spans="10:73">
      <c r="J53" s="39"/>
      <c r="L53" s="39"/>
      <c r="O53" s="102"/>
      <c r="P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</row>
    <row r="54" spans="10:73">
      <c r="O54" s="102"/>
      <c r="P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</row>
    <row r="55" spans="10:73">
      <c r="O55" s="102"/>
      <c r="P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</row>
    <row r="56" spans="10:73">
      <c r="O56" s="102"/>
      <c r="P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</row>
    <row r="57" spans="10:73">
      <c r="O57" s="102"/>
      <c r="P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</row>
    <row r="58" spans="10:73">
      <c r="O58" s="102"/>
      <c r="P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</row>
    <row r="59" spans="10:73">
      <c r="O59" s="102"/>
      <c r="P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</row>
    <row r="60" spans="10:73">
      <c r="O60" s="102"/>
      <c r="P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</row>
    <row r="61" spans="10:73">
      <c r="O61" s="102"/>
      <c r="P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</row>
    <row r="62" spans="10:73">
      <c r="O62" s="102"/>
      <c r="P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</row>
    <row r="63" spans="10:73">
      <c r="O63" s="102"/>
      <c r="P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</row>
    <row r="64" spans="10:73">
      <c r="O64" s="102"/>
      <c r="P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</row>
    <row r="65" spans="15:73">
      <c r="O65" s="102"/>
      <c r="P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</row>
    <row r="66" spans="15:73">
      <c r="O66" s="102"/>
      <c r="P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</row>
    <row r="67" spans="15:73">
      <c r="O67" s="102"/>
      <c r="P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</row>
    <row r="68" spans="15:73">
      <c r="O68" s="102"/>
      <c r="P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</row>
    <row r="69" spans="15:73">
      <c r="O69" s="102"/>
      <c r="P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</row>
    <row r="70" spans="15:73">
      <c r="O70" s="102"/>
      <c r="P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</row>
    <row r="71" spans="15:73">
      <c r="O71" s="102"/>
      <c r="P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</row>
    <row r="72" spans="15:73">
      <c r="O72" s="102"/>
      <c r="P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</row>
    <row r="73" spans="15:73">
      <c r="O73" s="102"/>
      <c r="P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</row>
    <row r="74" spans="15:73"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</row>
    <row r="75" spans="15:73"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</row>
    <row r="76" spans="15:73"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</row>
    <row r="77" spans="15:73"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</row>
    <row r="78" spans="15:73"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</row>
    <row r="79" spans="15:73"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</row>
    <row r="80" spans="15:73"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</row>
    <row r="81" spans="15:73"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</row>
    <row r="82" spans="15:73"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</row>
    <row r="83" spans="15:73"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</row>
    <row r="84" spans="15:73"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</row>
    <row r="85" spans="15:73"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</row>
    <row r="86" spans="15:73"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</row>
    <row r="87" spans="15:73"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</row>
    <row r="88" spans="15:73"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</row>
    <row r="89" spans="15:73"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</row>
    <row r="90" spans="15:73"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</row>
    <row r="91" spans="15:73"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</row>
    <row r="92" spans="15:73"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</row>
    <row r="93" spans="15:73"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</row>
    <row r="94" spans="15:73"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</row>
    <row r="95" spans="15:73"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</row>
    <row r="96" spans="15:73"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</row>
    <row r="97" spans="15:73"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</row>
    <row r="98" spans="15:73"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</row>
    <row r="99" spans="15:73"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</row>
    <row r="100" spans="15:73"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</row>
    <row r="101" spans="15:73"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</row>
    <row r="102" spans="15:73"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</row>
    <row r="103" spans="15:73"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</row>
    <row r="104" spans="15:73"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</row>
    <row r="105" spans="15:73"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</row>
    <row r="106" spans="15:73"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</row>
    <row r="107" spans="15:73"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</row>
    <row r="108" spans="15:73"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</row>
    <row r="109" spans="15:73"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</row>
    <row r="110" spans="15:73"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</row>
    <row r="111" spans="15:73"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</row>
    <row r="112" spans="15:73"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</row>
    <row r="113" spans="15:73"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</row>
    <row r="114" spans="15:73"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</row>
    <row r="115" spans="15:73"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</row>
    <row r="116" spans="15:73"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</row>
    <row r="117" spans="15:73"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</row>
    <row r="118" spans="15:73"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</row>
    <row r="119" spans="15:73"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</row>
    <row r="120" spans="15:73"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</row>
    <row r="121" spans="15:73"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</row>
    <row r="122" spans="15:73"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</row>
    <row r="123" spans="15:73"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</row>
    <row r="124" spans="15:73"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</row>
    <row r="125" spans="15:73"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</row>
    <row r="126" spans="15:73"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</row>
    <row r="127" spans="15:73"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</row>
    <row r="128" spans="15:73"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</row>
    <row r="129" spans="15:73"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</row>
    <row r="130" spans="15:73"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</row>
    <row r="131" spans="15:73"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</row>
    <row r="132" spans="15:73"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</row>
    <row r="133" spans="15:73"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</row>
    <row r="134" spans="15:73"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</row>
    <row r="135" spans="15:73"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</row>
    <row r="136" spans="15:73"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</row>
    <row r="137" spans="15:73"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</row>
    <row r="138" spans="15:73"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</row>
    <row r="139" spans="15:73"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</row>
    <row r="140" spans="15:73"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</row>
    <row r="141" spans="15:73"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</row>
    <row r="142" spans="15:73"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</row>
    <row r="143" spans="15:73"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</row>
    <row r="144" spans="15:73"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</row>
    <row r="145" spans="15:73"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</row>
    <row r="146" spans="15:73"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</row>
    <row r="147" spans="15:73"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</row>
    <row r="148" spans="15:73"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</row>
    <row r="149" spans="15:73"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</row>
    <row r="150" spans="15:73"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</row>
    <row r="151" spans="15:73"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</row>
    <row r="152" spans="15:73"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</row>
    <row r="153" spans="15:73"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</row>
    <row r="154" spans="15:73"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</row>
    <row r="155" spans="15:73"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</row>
    <row r="156" spans="15:73"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</row>
    <row r="157" spans="15:73"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</row>
    <row r="158" spans="15:73"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</row>
    <row r="159" spans="15:73"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</row>
    <row r="160" spans="15:73"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</row>
    <row r="161" spans="15:73"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</row>
    <row r="162" spans="15:73"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</row>
    <row r="163" spans="15:73"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</row>
    <row r="164" spans="15:73"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</row>
    <row r="165" spans="15:73"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</row>
    <row r="166" spans="15:73"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</row>
    <row r="167" spans="15:73"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</row>
    <row r="168" spans="15:73"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</row>
    <row r="169" spans="15:73"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</row>
    <row r="170" spans="15:73"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</row>
    <row r="171" spans="15:73"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</row>
    <row r="172" spans="15:73"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</row>
    <row r="173" spans="15:73"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</row>
    <row r="174" spans="15:73"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</row>
    <row r="175" spans="15:73"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</row>
    <row r="176" spans="15:73"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</row>
    <row r="177" spans="15:73"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</row>
    <row r="178" spans="15:73"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</row>
    <row r="179" spans="15:73"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</row>
    <row r="180" spans="15:73"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</row>
    <row r="181" spans="15:73"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</row>
    <row r="182" spans="15:73"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</row>
    <row r="183" spans="15:73"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</row>
    <row r="184" spans="15:73"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</row>
    <row r="185" spans="15:73"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</row>
    <row r="186" spans="15:73"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</row>
    <row r="187" spans="15:73"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</row>
    <row r="188" spans="15:73"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</row>
    <row r="189" spans="15:73"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</row>
    <row r="190" spans="15:73"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</row>
    <row r="191" spans="15:73"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</row>
    <row r="192" spans="15:73"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</row>
    <row r="193" spans="15:73"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</row>
    <row r="194" spans="15:73"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</row>
    <row r="195" spans="15:73"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</row>
    <row r="196" spans="15:73"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</row>
    <row r="197" spans="15:73"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</row>
    <row r="198" spans="15:73"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</row>
    <row r="199" spans="15:73"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</row>
    <row r="200" spans="15:73"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</row>
    <row r="201" spans="15:73"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</row>
    <row r="202" spans="15:73"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</row>
    <row r="203" spans="15:73"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</row>
    <row r="204" spans="15:73"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</row>
    <row r="205" spans="15:73"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</row>
    <row r="206" spans="15:73"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</row>
    <row r="207" spans="15:73"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</row>
    <row r="208" spans="15:73"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</row>
    <row r="209" spans="15:73"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</row>
    <row r="210" spans="15:73"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</row>
    <row r="211" spans="15:73"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</row>
    <row r="212" spans="15:73"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</row>
    <row r="213" spans="15:73"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</row>
    <row r="214" spans="15:73"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</row>
    <row r="215" spans="15:73"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</row>
    <row r="216" spans="15:73"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</row>
    <row r="217" spans="15:73"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</row>
    <row r="218" spans="15:73"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</row>
    <row r="219" spans="15:73"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</row>
    <row r="220" spans="15:73"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</row>
    <row r="221" spans="15:73"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</row>
    <row r="222" spans="15:73"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</row>
    <row r="223" spans="15:73"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</row>
    <row r="224" spans="15:73"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</row>
    <row r="225" spans="15:73"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</row>
    <row r="226" spans="15:73"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</row>
    <row r="227" spans="15:73"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</row>
    <row r="228" spans="15:73"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</row>
    <row r="229" spans="15:73"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</row>
    <row r="230" spans="15:73"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</row>
    <row r="231" spans="15:73"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</row>
    <row r="232" spans="15:73"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</row>
    <row r="233" spans="15:73"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</row>
    <row r="234" spans="15:73"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</row>
    <row r="235" spans="15:73"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</row>
    <row r="236" spans="15:73"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</row>
    <row r="237" spans="15:73"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</row>
    <row r="238" spans="15:73"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</row>
    <row r="239" spans="15:73"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</row>
    <row r="240" spans="15:73"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</row>
    <row r="241" spans="15:73"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</row>
    <row r="242" spans="15:73"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</row>
    <row r="243" spans="15:73"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</row>
    <row r="244" spans="15:73"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</row>
    <row r="245" spans="15:73"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</row>
    <row r="246" spans="15:73"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</row>
    <row r="247" spans="15:73"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</row>
    <row r="248" spans="15:73"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</row>
    <row r="249" spans="15:73"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</row>
    <row r="250" spans="15:73"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</row>
    <row r="251" spans="15:73"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</row>
    <row r="252" spans="15:73"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</row>
    <row r="253" spans="15:73"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</row>
    <row r="254" spans="15:73"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</row>
    <row r="255" spans="15:73"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</row>
    <row r="256" spans="15:73"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</row>
    <row r="257" spans="15:73"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</row>
    <row r="258" spans="15:73"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</row>
    <row r="259" spans="15:73"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</row>
    <row r="260" spans="15:73"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</row>
    <row r="261" spans="15:73"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</row>
    <row r="262" spans="15:73"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</row>
    <row r="263" spans="15:73"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</row>
    <row r="264" spans="15:73"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</row>
    <row r="265" spans="15:73"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</row>
    <row r="266" spans="15:73"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</row>
    <row r="267" spans="15:73"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</row>
    <row r="268" spans="15:73"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</row>
    <row r="269" spans="15:73"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</row>
    <row r="270" spans="15:73"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</row>
    <row r="271" spans="15:73"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</row>
    <row r="272" spans="15:73"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</row>
    <row r="273" spans="15:73"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</row>
    <row r="274" spans="15:73"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</row>
    <row r="275" spans="15:73"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</row>
    <row r="276" spans="15:73"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</row>
    <row r="277" spans="15:73"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</row>
    <row r="278" spans="15:73"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</row>
    <row r="279" spans="15:73"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</row>
    <row r="280" spans="15:73"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</row>
    <row r="281" spans="15:73"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</row>
    <row r="282" spans="15:73"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</row>
    <row r="283" spans="15:73"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</row>
    <row r="284" spans="15:73"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  <c r="AB284" s="102"/>
      <c r="AC284" s="102"/>
      <c r="AD284" s="10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</row>
    <row r="285" spans="15:73"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</row>
    <row r="286" spans="15:73"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02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</row>
    <row r="287" spans="15:73"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  <c r="AB287" s="102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</row>
    <row r="288" spans="15:73"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</row>
    <row r="289" spans="15:73"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</row>
    <row r="290" spans="15:73"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</row>
    <row r="291" spans="15:73"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102"/>
      <c r="AB291" s="102"/>
      <c r="AC291" s="102"/>
      <c r="AD291" s="10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</row>
    <row r="292" spans="15:73"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</row>
    <row r="293" spans="15:73"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</row>
    <row r="294" spans="15:73"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</row>
    <row r="295" spans="15:73"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</row>
    <row r="296" spans="15:73"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</row>
    <row r="297" spans="15:73"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</row>
    <row r="298" spans="15:73"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</row>
    <row r="299" spans="15:73"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</row>
    <row r="300" spans="15:73"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</row>
    <row r="301" spans="15:73"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</row>
    <row r="302" spans="15:73"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</row>
    <row r="303" spans="15:73"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</row>
    <row r="304" spans="15:73"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</row>
    <row r="305" spans="15:73"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</row>
    <row r="306" spans="15:73"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</row>
    <row r="307" spans="15:73"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02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  <c r="BU307" s="102"/>
    </row>
    <row r="308" spans="15:73"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102"/>
      <c r="BC308" s="102"/>
      <c r="BD308" s="102"/>
      <c r="BE308" s="102"/>
      <c r="BF308" s="102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  <c r="BU308" s="102"/>
    </row>
    <row r="309" spans="15:73"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/>
      <c r="AV309" s="102"/>
      <c r="AW309" s="102"/>
      <c r="AX309" s="102"/>
      <c r="AY309" s="102"/>
      <c r="AZ309" s="102"/>
      <c r="BA309" s="102"/>
      <c r="BB309" s="102"/>
      <c r="BC309" s="102"/>
      <c r="BD309" s="102"/>
      <c r="BE309" s="102"/>
      <c r="BF309" s="102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  <c r="BU309" s="102"/>
    </row>
    <row r="310" spans="15:73"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/>
      <c r="AV310" s="102"/>
      <c r="AW310" s="102"/>
      <c r="AX310" s="102"/>
      <c r="AY310" s="102"/>
      <c r="AZ310" s="102"/>
      <c r="BA310" s="102"/>
      <c r="BB310" s="102"/>
      <c r="BC310" s="102"/>
      <c r="BD310" s="102"/>
      <c r="BE310" s="102"/>
      <c r="BF310" s="102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  <c r="BU310" s="102"/>
    </row>
    <row r="311" spans="15:73"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02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</row>
    <row r="312" spans="15:73"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</row>
    <row r="313" spans="15:73"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</row>
    <row r="314" spans="15:73"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</row>
    <row r="315" spans="15:73"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</row>
    <row r="316" spans="15:73"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</row>
    <row r="317" spans="15:73"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</row>
    <row r="318" spans="15:73"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</row>
    <row r="319" spans="15:73"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</row>
    <row r="320" spans="15:73"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</row>
    <row r="321" spans="15:73"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</row>
    <row r="322" spans="15:73"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</row>
    <row r="323" spans="15:73"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  <c r="AB323" s="102"/>
      <c r="AC323" s="102"/>
      <c r="AD323" s="102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</row>
    <row r="324" spans="15:73"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</row>
    <row r="325" spans="15:73"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02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</row>
    <row r="326" spans="15:73"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  <c r="AB326" s="102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</row>
    <row r="327" spans="15:73"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02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</row>
    <row r="328" spans="15:73"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  <c r="AA328" s="102"/>
      <c r="AB328" s="102"/>
      <c r="AC328" s="102"/>
      <c r="AD328" s="102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  <c r="AS328" s="102"/>
      <c r="AT328" s="102"/>
      <c r="AU328" s="102"/>
      <c r="AV328" s="102"/>
      <c r="AW328" s="102"/>
      <c r="AX328" s="102"/>
      <c r="AY328" s="102"/>
      <c r="AZ328" s="102"/>
      <c r="BA328" s="102"/>
      <c r="BB328" s="102"/>
      <c r="BC328" s="102"/>
      <c r="BD328" s="102"/>
      <c r="BE328" s="102"/>
      <c r="BF328" s="102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  <c r="BU328" s="102"/>
    </row>
    <row r="329" spans="15:73"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  <c r="AB329" s="102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2"/>
      <c r="BC329" s="102"/>
      <c r="BD329" s="102"/>
      <c r="BE329" s="102"/>
      <c r="BF329" s="102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  <c r="BU329" s="102"/>
    </row>
    <row r="330" spans="15:73"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  <c r="AB330" s="102"/>
      <c r="AC330" s="102"/>
      <c r="AD330" s="102"/>
      <c r="AE330" s="102"/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  <c r="AS330" s="102"/>
      <c r="AT330" s="102"/>
      <c r="AU330" s="102"/>
      <c r="AV330" s="102"/>
      <c r="AW330" s="102"/>
      <c r="AX330" s="102"/>
      <c r="AY330" s="102"/>
      <c r="AZ330" s="102"/>
      <c r="BA330" s="102"/>
      <c r="BB330" s="102"/>
      <c r="BC330" s="102"/>
      <c r="BD330" s="102"/>
      <c r="BE330" s="102"/>
      <c r="BF330" s="102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  <c r="BU330" s="102"/>
    </row>
    <row r="331" spans="15:73"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  <c r="AA331" s="102"/>
      <c r="AB331" s="102"/>
      <c r="AC331" s="102"/>
      <c r="AD331" s="102"/>
      <c r="AE331" s="102"/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  <c r="AS331" s="102"/>
      <c r="AT331" s="102"/>
      <c r="AU331" s="102"/>
      <c r="AV331" s="102"/>
      <c r="AW331" s="102"/>
      <c r="AX331" s="102"/>
      <c r="AY331" s="102"/>
      <c r="AZ331" s="102"/>
      <c r="BA331" s="102"/>
      <c r="BB331" s="102"/>
      <c r="BC331" s="102"/>
      <c r="BD331" s="102"/>
      <c r="BE331" s="102"/>
      <c r="BF331" s="102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  <c r="BU331" s="102"/>
    </row>
    <row r="332" spans="15:73"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102"/>
      <c r="AB332" s="102"/>
      <c r="AC332" s="102"/>
      <c r="AD332" s="102"/>
      <c r="AE332" s="102"/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  <c r="AS332" s="102"/>
      <c r="AT332" s="102"/>
      <c r="AU332" s="102"/>
      <c r="AV332" s="102"/>
      <c r="AW332" s="102"/>
      <c r="AX332" s="102"/>
      <c r="AY332" s="102"/>
      <c r="AZ332" s="102"/>
      <c r="BA332" s="102"/>
      <c r="BB332" s="102"/>
      <c r="BC332" s="102"/>
      <c r="BD332" s="102"/>
      <c r="BE332" s="102"/>
      <c r="BF332" s="102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  <c r="BU332" s="102"/>
    </row>
    <row r="333" spans="15:73"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  <c r="AA333" s="102"/>
      <c r="AB333" s="102"/>
      <c r="AC333" s="102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  <c r="AS333" s="102"/>
      <c r="AT333" s="102"/>
      <c r="AU333" s="102"/>
      <c r="AV333" s="102"/>
      <c r="AW333" s="102"/>
      <c r="AX333" s="102"/>
      <c r="AY333" s="102"/>
      <c r="AZ333" s="102"/>
      <c r="BA333" s="102"/>
      <c r="BB333" s="102"/>
      <c r="BC333" s="102"/>
      <c r="BD333" s="102"/>
      <c r="BE333" s="102"/>
      <c r="BF333" s="102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  <c r="BU333" s="102"/>
    </row>
    <row r="334" spans="15:73"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  <c r="AB334" s="102"/>
      <c r="AC334" s="102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02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  <c r="BU334" s="102"/>
    </row>
    <row r="335" spans="15:73"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  <c r="AB335" s="102"/>
      <c r="AC335" s="102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102"/>
      <c r="AR335" s="102"/>
      <c r="AS335" s="102"/>
      <c r="AT335" s="102"/>
      <c r="AU335" s="102"/>
      <c r="AV335" s="102"/>
      <c r="AW335" s="102"/>
      <c r="AX335" s="102"/>
      <c r="AY335" s="102"/>
      <c r="AZ335" s="102"/>
      <c r="BA335" s="102"/>
      <c r="BB335" s="102"/>
      <c r="BC335" s="102"/>
      <c r="BD335" s="102"/>
      <c r="BE335" s="102"/>
      <c r="BF335" s="102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  <c r="BU335" s="102"/>
    </row>
    <row r="336" spans="15:73"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</row>
    <row r="337" spans="15:73"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  <c r="AB337" s="102"/>
      <c r="AC337" s="102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  <c r="AS337" s="102"/>
      <c r="AT337" s="102"/>
      <c r="AU337" s="102"/>
      <c r="AV337" s="102"/>
      <c r="AW337" s="102"/>
      <c r="AX337" s="102"/>
      <c r="AY337" s="102"/>
      <c r="AZ337" s="102"/>
      <c r="BA337" s="102"/>
      <c r="BB337" s="102"/>
      <c r="BC337" s="102"/>
      <c r="BD337" s="102"/>
      <c r="BE337" s="102"/>
      <c r="BF337" s="102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  <c r="BU337" s="102"/>
    </row>
    <row r="338" spans="15:73"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</row>
    <row r="339" spans="15:73"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  <c r="AA339" s="102"/>
      <c r="AB339" s="102"/>
      <c r="AC339" s="102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  <c r="AS339" s="102"/>
      <c r="AT339" s="102"/>
      <c r="AU339" s="102"/>
      <c r="AV339" s="102"/>
      <c r="AW339" s="102"/>
      <c r="AX339" s="102"/>
      <c r="AY339" s="102"/>
      <c r="AZ339" s="102"/>
      <c r="BA339" s="102"/>
      <c r="BB339" s="102"/>
      <c r="BC339" s="102"/>
      <c r="BD339" s="102"/>
      <c r="BE339" s="102"/>
      <c r="BF339" s="102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  <c r="BU339" s="102"/>
    </row>
    <row r="340" spans="15:73"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02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</row>
    <row r="341" spans="15:73"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02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</row>
    <row r="342" spans="15:73"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  <c r="AB342" s="102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</row>
    <row r="343" spans="15:73"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  <c r="AB343" s="102"/>
      <c r="AC343" s="102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02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</row>
    <row r="344" spans="15:73"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  <c r="AA344" s="102"/>
      <c r="AB344" s="102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</row>
    <row r="345" spans="15:73"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  <c r="AA345" s="102"/>
      <c r="AB345" s="102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</row>
    <row r="346" spans="15:73"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  <c r="AA346" s="102"/>
      <c r="AB346" s="102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</row>
    <row r="347" spans="15:73"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</row>
    <row r="348" spans="15:73"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</row>
    <row r="349" spans="15:73"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02"/>
      <c r="AB349" s="102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</row>
    <row r="350" spans="15:73"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</row>
    <row r="351" spans="15:73"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</row>
    <row r="352" spans="15:73"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</row>
    <row r="353" spans="15:73"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  <c r="AA353" s="102"/>
      <c r="AB353" s="102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</row>
    <row r="354" spans="15:73"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</row>
    <row r="355" spans="15:73"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</row>
    <row r="356" spans="15:73"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  <c r="AB356" s="102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</row>
    <row r="357" spans="15:73"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</row>
    <row r="358" spans="15:73"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</row>
    <row r="359" spans="15:73"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2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</row>
    <row r="360" spans="15:73"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</row>
    <row r="361" spans="15:73"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2"/>
      <c r="AB361" s="102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</row>
    <row r="362" spans="15:73"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</row>
    <row r="363" spans="15:73"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</row>
    <row r="364" spans="15:73"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</row>
    <row r="365" spans="15:73"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</row>
    <row r="366" spans="15:73"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</row>
    <row r="367" spans="15:73"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</row>
    <row r="368" spans="15:73"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</row>
    <row r="369" spans="15:73"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</row>
    <row r="370" spans="15:73"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  <c r="AB370" s="102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02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</row>
    <row r="371" spans="15:73"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  <c r="AB371" s="102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</row>
    <row r="372" spans="15:73"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  <c r="AB372" s="102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02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</row>
    <row r="373" spans="15:73"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  <c r="AB373" s="102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</row>
    <row r="374" spans="15:73"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  <c r="AB374" s="102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</row>
    <row r="375" spans="15:73"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  <c r="AA375" s="102"/>
      <c r="AB375" s="102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</row>
    <row r="376" spans="15:73"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  <c r="AA376" s="102"/>
      <c r="AB376" s="102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02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</row>
    <row r="377" spans="15:73"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  <c r="AB377" s="102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</row>
    <row r="378" spans="15:73"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  <c r="BD378" s="102"/>
      <c r="BE378" s="102"/>
      <c r="BF378" s="102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  <c r="BU378" s="102"/>
    </row>
    <row r="379" spans="15:73"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  <c r="AA379" s="102"/>
      <c r="AB379" s="102"/>
      <c r="AC379" s="102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  <c r="BD379" s="102"/>
      <c r="BE379" s="102"/>
      <c r="BF379" s="102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02"/>
      <c r="BR379" s="102"/>
      <c r="BS379" s="102"/>
      <c r="BT379" s="102"/>
      <c r="BU379" s="102"/>
    </row>
    <row r="380" spans="15:73"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02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  <c r="BU380" s="102"/>
    </row>
    <row r="381" spans="15:73"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02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  <c r="BU381" s="102"/>
    </row>
    <row r="382" spans="15:73"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02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</row>
    <row r="383" spans="15:73"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02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</row>
    <row r="384" spans="15:73"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02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  <c r="BU384" s="102"/>
    </row>
    <row r="385" spans="15:73"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102"/>
      <c r="AV385" s="102"/>
      <c r="AW385" s="102"/>
      <c r="AX385" s="102"/>
      <c r="AY385" s="102"/>
      <c r="AZ385" s="102"/>
      <c r="BA385" s="102"/>
      <c r="BB385" s="102"/>
      <c r="BC385" s="102"/>
      <c r="BD385" s="102"/>
      <c r="BE385" s="102"/>
      <c r="BF385" s="102"/>
      <c r="BG385" s="102"/>
      <c r="BH385" s="102"/>
      <c r="BI385" s="102"/>
      <c r="BJ385" s="102"/>
      <c r="BK385" s="102"/>
      <c r="BL385" s="102"/>
      <c r="BM385" s="102"/>
      <c r="BN385" s="102"/>
      <c r="BO385" s="102"/>
      <c r="BP385" s="102"/>
      <c r="BQ385" s="102"/>
      <c r="BR385" s="102"/>
      <c r="BS385" s="102"/>
      <c r="BT385" s="102"/>
      <c r="BU385" s="102"/>
    </row>
    <row r="386" spans="15:73"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02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</row>
    <row r="387" spans="15:73"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</row>
    <row r="388" spans="15:73"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02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</row>
    <row r="389" spans="15:73"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  <c r="BD389" s="102"/>
      <c r="BE389" s="102"/>
      <c r="BF389" s="102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</row>
    <row r="390" spans="15:73"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  <c r="AA390" s="102"/>
      <c r="AB390" s="102"/>
      <c r="AC390" s="102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02"/>
      <c r="AZ390" s="102"/>
      <c r="BA390" s="102"/>
      <c r="BB390" s="102"/>
      <c r="BC390" s="102"/>
      <c r="BD390" s="102"/>
      <c r="BE390" s="102"/>
      <c r="BF390" s="102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  <c r="BU390" s="102"/>
    </row>
    <row r="391" spans="15:73"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  <c r="AB391" s="102"/>
      <c r="AC391" s="102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  <c r="BD391" s="102"/>
      <c r="BE391" s="102"/>
      <c r="BF391" s="102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  <c r="BU391" s="102"/>
    </row>
    <row r="392" spans="15:73"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  <c r="AA392" s="102"/>
      <c r="AB392" s="102"/>
      <c r="AC392" s="102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  <c r="BD392" s="102"/>
      <c r="BE392" s="102"/>
      <c r="BF392" s="102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  <c r="BU392" s="102"/>
    </row>
    <row r="393" spans="15:73"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02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</row>
    <row r="394" spans="15:73"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  <c r="AA394" s="102"/>
      <c r="AB394" s="102"/>
      <c r="AC394" s="102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  <c r="BD394" s="102"/>
      <c r="BE394" s="102"/>
      <c r="BF394" s="102"/>
      <c r="BG394" s="102"/>
      <c r="BH394" s="102"/>
      <c r="BI394" s="102"/>
      <c r="BJ394" s="102"/>
      <c r="BK394" s="102"/>
      <c r="BL394" s="102"/>
      <c r="BM394" s="102"/>
      <c r="BN394" s="102"/>
      <c r="BO394" s="102"/>
      <c r="BP394" s="102"/>
      <c r="BQ394" s="102"/>
      <c r="BR394" s="102"/>
      <c r="BS394" s="102"/>
      <c r="BT394" s="102"/>
      <c r="BU394" s="102"/>
    </row>
    <row r="395" spans="15:73"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  <c r="BD395" s="102"/>
      <c r="BE395" s="102"/>
      <c r="BF395" s="102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  <c r="BU395" s="102"/>
    </row>
    <row r="396" spans="15:73"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02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</row>
    <row r="397" spans="15:73"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02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</row>
    <row r="398" spans="15:73"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  <c r="AA398" s="102"/>
      <c r="AB398" s="102"/>
      <c r="AC398" s="102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  <c r="BD398" s="102"/>
      <c r="BE398" s="102"/>
      <c r="BF398" s="102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  <c r="BU398" s="102"/>
    </row>
    <row r="399" spans="15:73"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  <c r="BD399" s="102"/>
      <c r="BE399" s="102"/>
      <c r="BF399" s="102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  <c r="BU399" s="102"/>
    </row>
    <row r="400" spans="15:73"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  <c r="BD400" s="102"/>
      <c r="BE400" s="102"/>
      <c r="BF400" s="102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  <c r="BU400" s="102"/>
    </row>
    <row r="401" spans="15:73"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  <c r="AA401" s="102"/>
      <c r="AB401" s="102"/>
      <c r="AC401" s="102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102"/>
      <c r="AR401" s="102"/>
      <c r="AS401" s="102"/>
      <c r="AT401" s="102"/>
      <c r="AU401" s="102"/>
      <c r="AV401" s="102"/>
      <c r="AW401" s="102"/>
      <c r="AX401" s="102"/>
      <c r="AY401" s="102"/>
      <c r="AZ401" s="102"/>
      <c r="BA401" s="102"/>
      <c r="BB401" s="102"/>
      <c r="BC401" s="102"/>
      <c r="BD401" s="102"/>
      <c r="BE401" s="102"/>
      <c r="BF401" s="102"/>
      <c r="BG401" s="102"/>
      <c r="BH401" s="102"/>
      <c r="BI401" s="102"/>
      <c r="BJ401" s="102"/>
      <c r="BK401" s="102"/>
      <c r="BL401" s="102"/>
      <c r="BM401" s="102"/>
      <c r="BN401" s="102"/>
      <c r="BO401" s="102"/>
      <c r="BP401" s="102"/>
      <c r="BQ401" s="102"/>
      <c r="BR401" s="102"/>
      <c r="BS401" s="102"/>
      <c r="BT401" s="102"/>
      <c r="BU401" s="102"/>
    </row>
    <row r="402" spans="15:73"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  <c r="AA402" s="102"/>
      <c r="AB402" s="102"/>
      <c r="AC402" s="102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102"/>
      <c r="AR402" s="102"/>
      <c r="AS402" s="102"/>
      <c r="AT402" s="102"/>
      <c r="AU402" s="102"/>
      <c r="AV402" s="102"/>
      <c r="AW402" s="102"/>
      <c r="AX402" s="102"/>
      <c r="AY402" s="102"/>
      <c r="AZ402" s="102"/>
      <c r="BA402" s="102"/>
      <c r="BB402" s="102"/>
      <c r="BC402" s="102"/>
      <c r="BD402" s="102"/>
      <c r="BE402" s="102"/>
      <c r="BF402" s="102"/>
      <c r="BG402" s="102"/>
      <c r="BH402" s="102"/>
      <c r="BI402" s="102"/>
      <c r="BJ402" s="102"/>
      <c r="BK402" s="102"/>
      <c r="BL402" s="102"/>
      <c r="BM402" s="102"/>
      <c r="BN402" s="102"/>
      <c r="BO402" s="102"/>
      <c r="BP402" s="102"/>
      <c r="BQ402" s="102"/>
      <c r="BR402" s="102"/>
      <c r="BS402" s="102"/>
      <c r="BT402" s="102"/>
      <c r="BU402" s="102"/>
    </row>
    <row r="403" spans="15:73"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  <c r="AA403" s="102"/>
      <c r="AB403" s="102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  <c r="BD403" s="102"/>
      <c r="BE403" s="102"/>
      <c r="BF403" s="102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  <c r="BU403" s="102"/>
    </row>
    <row r="404" spans="15:73"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  <c r="AA404" s="102"/>
      <c r="AB404" s="102"/>
      <c r="AC404" s="102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  <c r="BD404" s="102"/>
      <c r="BE404" s="102"/>
      <c r="BF404" s="102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  <c r="BU404" s="102"/>
    </row>
    <row r="405" spans="15:73"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  <c r="AA405" s="102"/>
      <c r="AB405" s="102"/>
      <c r="AC405" s="102"/>
      <c r="AD405" s="10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  <c r="BD405" s="102"/>
      <c r="BE405" s="102"/>
      <c r="BF405" s="102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  <c r="BU405" s="102"/>
    </row>
    <row r="406" spans="15:73"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  <c r="AA406" s="102"/>
      <c r="AB406" s="102"/>
      <c r="AC406" s="102"/>
      <c r="AD406" s="102"/>
      <c r="AE406" s="102"/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02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  <c r="BC406" s="102"/>
      <c r="BD406" s="102"/>
      <c r="BE406" s="102"/>
      <c r="BF406" s="102"/>
      <c r="BG406" s="102"/>
      <c r="BH406" s="102"/>
      <c r="BI406" s="102"/>
      <c r="BJ406" s="102"/>
      <c r="BK406" s="102"/>
      <c r="BL406" s="102"/>
      <c r="BM406" s="102"/>
      <c r="BN406" s="102"/>
      <c r="BO406" s="102"/>
      <c r="BP406" s="102"/>
      <c r="BQ406" s="102"/>
      <c r="BR406" s="102"/>
      <c r="BS406" s="102"/>
      <c r="BT406" s="102"/>
      <c r="BU406" s="102"/>
    </row>
    <row r="407" spans="15:73"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  <c r="AA407" s="102"/>
      <c r="AB407" s="102"/>
      <c r="AC407" s="102"/>
      <c r="AD407" s="102"/>
      <c r="AE407" s="102"/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02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  <c r="BC407" s="102"/>
      <c r="BD407" s="102"/>
      <c r="BE407" s="102"/>
      <c r="BF407" s="102"/>
      <c r="BG407" s="102"/>
      <c r="BH407" s="102"/>
      <c r="BI407" s="102"/>
      <c r="BJ407" s="102"/>
      <c r="BK407" s="102"/>
      <c r="BL407" s="102"/>
      <c r="BM407" s="102"/>
      <c r="BN407" s="102"/>
      <c r="BO407" s="102"/>
      <c r="BP407" s="102"/>
      <c r="BQ407" s="102"/>
      <c r="BR407" s="102"/>
      <c r="BS407" s="102"/>
      <c r="BT407" s="102"/>
      <c r="BU407" s="102"/>
    </row>
    <row r="408" spans="15:73"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  <c r="AB408" s="102"/>
      <c r="AC408" s="102"/>
      <c r="AD408" s="10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  <c r="BD408" s="102"/>
      <c r="BE408" s="102"/>
      <c r="BF408" s="102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  <c r="BU408" s="102"/>
    </row>
    <row r="409" spans="15:73"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  <c r="AA409" s="102"/>
      <c r="AB409" s="102"/>
      <c r="AC409" s="102"/>
      <c r="AD409" s="102"/>
      <c r="AE409" s="102"/>
      <c r="AF409" s="102"/>
      <c r="AG409" s="102"/>
      <c r="AH409" s="102"/>
      <c r="AI409" s="102"/>
      <c r="AJ409" s="102"/>
      <c r="AK409" s="102"/>
      <c r="AL409" s="102"/>
      <c r="AM409" s="102"/>
      <c r="AN409" s="102"/>
      <c r="AO409" s="102"/>
      <c r="AP409" s="102"/>
      <c r="AQ409" s="102"/>
      <c r="AR409" s="102"/>
      <c r="AS409" s="102"/>
      <c r="AT409" s="102"/>
      <c r="AU409" s="102"/>
      <c r="AV409" s="102"/>
      <c r="AW409" s="102"/>
      <c r="AX409" s="102"/>
      <c r="AY409" s="102"/>
      <c r="AZ409" s="102"/>
      <c r="BA409" s="102"/>
      <c r="BB409" s="102"/>
      <c r="BC409" s="102"/>
      <c r="BD409" s="102"/>
      <c r="BE409" s="102"/>
      <c r="BF409" s="102"/>
      <c r="BG409" s="102"/>
      <c r="BH409" s="102"/>
      <c r="BI409" s="102"/>
      <c r="BJ409" s="102"/>
      <c r="BK409" s="102"/>
      <c r="BL409" s="102"/>
      <c r="BM409" s="102"/>
      <c r="BN409" s="102"/>
      <c r="BO409" s="102"/>
      <c r="BP409" s="102"/>
      <c r="BQ409" s="102"/>
      <c r="BR409" s="102"/>
      <c r="BS409" s="102"/>
      <c r="BT409" s="102"/>
      <c r="BU409" s="102"/>
    </row>
    <row r="410" spans="15:73"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  <c r="AA410" s="102"/>
      <c r="AB410" s="102"/>
      <c r="AC410" s="102"/>
      <c r="AD410" s="102"/>
      <c r="AE410" s="102"/>
      <c r="AF410" s="102"/>
      <c r="AG410" s="102"/>
      <c r="AH410" s="102"/>
      <c r="AI410" s="102"/>
      <c r="AJ410" s="102"/>
      <c r="AK410" s="102"/>
      <c r="AL410" s="102"/>
      <c r="AM410" s="102"/>
      <c r="AN410" s="102"/>
      <c r="AO410" s="102"/>
      <c r="AP410" s="102"/>
      <c r="AQ410" s="102"/>
      <c r="AR410" s="102"/>
      <c r="AS410" s="102"/>
      <c r="AT410" s="102"/>
      <c r="AU410" s="102"/>
      <c r="AV410" s="102"/>
      <c r="AW410" s="102"/>
      <c r="AX410" s="102"/>
      <c r="AY410" s="102"/>
      <c r="AZ410" s="102"/>
      <c r="BA410" s="102"/>
      <c r="BB410" s="102"/>
      <c r="BC410" s="102"/>
      <c r="BD410" s="102"/>
      <c r="BE410" s="102"/>
      <c r="BF410" s="102"/>
      <c r="BG410" s="102"/>
      <c r="BH410" s="102"/>
      <c r="BI410" s="102"/>
      <c r="BJ410" s="102"/>
      <c r="BK410" s="102"/>
      <c r="BL410" s="102"/>
      <c r="BM410" s="102"/>
      <c r="BN410" s="102"/>
      <c r="BO410" s="102"/>
      <c r="BP410" s="102"/>
      <c r="BQ410" s="102"/>
      <c r="BR410" s="102"/>
      <c r="BS410" s="102"/>
      <c r="BT410" s="102"/>
      <c r="BU410" s="102"/>
    </row>
    <row r="411" spans="15:73"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  <c r="AA411" s="102"/>
      <c r="AB411" s="102"/>
      <c r="AC411" s="102"/>
      <c r="AD411" s="102"/>
      <c r="AE411" s="102"/>
      <c r="AF411" s="102"/>
      <c r="AG411" s="102"/>
      <c r="AH411" s="102"/>
      <c r="AI411" s="102"/>
      <c r="AJ411" s="102"/>
      <c r="AK411" s="102"/>
      <c r="AL411" s="102"/>
      <c r="AM411" s="102"/>
      <c r="AN411" s="102"/>
      <c r="AO411" s="102"/>
      <c r="AP411" s="102"/>
      <c r="AQ411" s="102"/>
      <c r="AR411" s="102"/>
      <c r="AS411" s="102"/>
      <c r="AT411" s="102"/>
      <c r="AU411" s="102"/>
      <c r="AV411" s="102"/>
      <c r="AW411" s="102"/>
      <c r="AX411" s="102"/>
      <c r="AY411" s="102"/>
      <c r="AZ411" s="102"/>
      <c r="BA411" s="102"/>
      <c r="BB411" s="102"/>
      <c r="BC411" s="102"/>
      <c r="BD411" s="102"/>
      <c r="BE411" s="102"/>
      <c r="BF411" s="102"/>
      <c r="BG411" s="102"/>
      <c r="BH411" s="102"/>
      <c r="BI411" s="102"/>
      <c r="BJ411" s="102"/>
      <c r="BK411" s="102"/>
      <c r="BL411" s="102"/>
      <c r="BM411" s="102"/>
      <c r="BN411" s="102"/>
      <c r="BO411" s="102"/>
      <c r="BP411" s="102"/>
      <c r="BQ411" s="102"/>
      <c r="BR411" s="102"/>
      <c r="BS411" s="102"/>
      <c r="BT411" s="102"/>
      <c r="BU411" s="102"/>
    </row>
    <row r="412" spans="15:73"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  <c r="AA412" s="102"/>
      <c r="AB412" s="102"/>
      <c r="AC412" s="102"/>
      <c r="AD412" s="102"/>
      <c r="AE412" s="102"/>
      <c r="AF412" s="102"/>
      <c r="AG412" s="102"/>
      <c r="AH412" s="102"/>
      <c r="AI412" s="102"/>
      <c r="AJ412" s="102"/>
      <c r="AK412" s="102"/>
      <c r="AL412" s="102"/>
      <c r="AM412" s="102"/>
      <c r="AN412" s="102"/>
      <c r="AO412" s="102"/>
      <c r="AP412" s="102"/>
      <c r="AQ412" s="102"/>
      <c r="AR412" s="102"/>
      <c r="AS412" s="102"/>
      <c r="AT412" s="102"/>
      <c r="AU412" s="102"/>
      <c r="AV412" s="102"/>
      <c r="AW412" s="102"/>
      <c r="AX412" s="102"/>
      <c r="AY412" s="102"/>
      <c r="AZ412" s="102"/>
      <c r="BA412" s="102"/>
      <c r="BB412" s="102"/>
      <c r="BC412" s="102"/>
      <c r="BD412" s="102"/>
      <c r="BE412" s="102"/>
      <c r="BF412" s="102"/>
      <c r="BG412" s="102"/>
      <c r="BH412" s="102"/>
      <c r="BI412" s="102"/>
      <c r="BJ412" s="102"/>
      <c r="BK412" s="102"/>
      <c r="BL412" s="102"/>
      <c r="BM412" s="102"/>
      <c r="BN412" s="102"/>
      <c r="BO412" s="102"/>
      <c r="BP412" s="102"/>
      <c r="BQ412" s="102"/>
      <c r="BR412" s="102"/>
      <c r="BS412" s="102"/>
      <c r="BT412" s="102"/>
      <c r="BU412" s="102"/>
    </row>
    <row r="413" spans="15:73"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02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</row>
    <row r="414" spans="15:73"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  <c r="AA414" s="102"/>
      <c r="AB414" s="102"/>
      <c r="AC414" s="102"/>
      <c r="AD414" s="102"/>
      <c r="AE414" s="102"/>
      <c r="AF414" s="102"/>
      <c r="AG414" s="102"/>
      <c r="AH414" s="102"/>
      <c r="AI414" s="102"/>
      <c r="AJ414" s="102"/>
      <c r="AK414" s="102"/>
      <c r="AL414" s="102"/>
      <c r="AM414" s="102"/>
      <c r="AN414" s="102"/>
      <c r="AO414" s="102"/>
      <c r="AP414" s="102"/>
      <c r="AQ414" s="102"/>
      <c r="AR414" s="102"/>
      <c r="AS414" s="102"/>
      <c r="AT414" s="102"/>
      <c r="AU414" s="102"/>
      <c r="AV414" s="102"/>
      <c r="AW414" s="102"/>
      <c r="AX414" s="102"/>
      <c r="AY414" s="102"/>
      <c r="AZ414" s="102"/>
      <c r="BA414" s="102"/>
      <c r="BB414" s="102"/>
      <c r="BC414" s="102"/>
      <c r="BD414" s="102"/>
      <c r="BE414" s="102"/>
      <c r="BF414" s="102"/>
      <c r="BG414" s="102"/>
      <c r="BH414" s="102"/>
      <c r="BI414" s="102"/>
      <c r="BJ414" s="102"/>
      <c r="BK414" s="102"/>
      <c r="BL414" s="102"/>
      <c r="BM414" s="102"/>
      <c r="BN414" s="102"/>
      <c r="BO414" s="102"/>
      <c r="BP414" s="102"/>
      <c r="BQ414" s="102"/>
      <c r="BR414" s="102"/>
      <c r="BS414" s="102"/>
      <c r="BT414" s="102"/>
      <c r="BU414" s="102"/>
    </row>
    <row r="415" spans="15:73"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  <c r="AA415" s="102"/>
      <c r="AB415" s="102"/>
      <c r="AC415" s="102"/>
      <c r="AD415" s="102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02"/>
      <c r="AP415" s="102"/>
      <c r="AQ415" s="102"/>
      <c r="AR415" s="102"/>
      <c r="AS415" s="102"/>
      <c r="AT415" s="102"/>
      <c r="AU415" s="102"/>
      <c r="AV415" s="102"/>
      <c r="AW415" s="102"/>
      <c r="AX415" s="102"/>
      <c r="AY415" s="102"/>
      <c r="AZ415" s="102"/>
      <c r="BA415" s="102"/>
      <c r="BB415" s="102"/>
      <c r="BC415" s="102"/>
      <c r="BD415" s="102"/>
      <c r="BE415" s="102"/>
      <c r="BF415" s="102"/>
      <c r="BG415" s="102"/>
      <c r="BH415" s="102"/>
      <c r="BI415" s="102"/>
      <c r="BJ415" s="102"/>
      <c r="BK415" s="102"/>
      <c r="BL415" s="102"/>
      <c r="BM415" s="102"/>
      <c r="BN415" s="102"/>
      <c r="BO415" s="102"/>
      <c r="BP415" s="102"/>
      <c r="BQ415" s="102"/>
      <c r="BR415" s="102"/>
      <c r="BS415" s="102"/>
      <c r="BT415" s="102"/>
      <c r="BU415" s="102"/>
    </row>
    <row r="416" spans="15:73"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  <c r="AA416" s="102"/>
      <c r="AB416" s="102"/>
      <c r="AC416" s="102"/>
      <c r="AD416" s="102"/>
      <c r="AE416" s="102"/>
      <c r="AF416" s="102"/>
      <c r="AG416" s="102"/>
      <c r="AH416" s="102"/>
      <c r="AI416" s="102"/>
      <c r="AJ416" s="102"/>
      <c r="AK416" s="102"/>
      <c r="AL416" s="102"/>
      <c r="AM416" s="102"/>
      <c r="AN416" s="102"/>
      <c r="AO416" s="102"/>
      <c r="AP416" s="102"/>
      <c r="AQ416" s="102"/>
      <c r="AR416" s="102"/>
      <c r="AS416" s="102"/>
      <c r="AT416" s="102"/>
      <c r="AU416" s="102"/>
      <c r="AV416" s="102"/>
      <c r="AW416" s="102"/>
      <c r="AX416" s="102"/>
      <c r="AY416" s="102"/>
      <c r="AZ416" s="102"/>
      <c r="BA416" s="102"/>
      <c r="BB416" s="102"/>
      <c r="BC416" s="102"/>
      <c r="BD416" s="102"/>
      <c r="BE416" s="102"/>
      <c r="BF416" s="102"/>
      <c r="BG416" s="102"/>
      <c r="BH416" s="102"/>
      <c r="BI416" s="102"/>
      <c r="BJ416" s="102"/>
      <c r="BK416" s="102"/>
      <c r="BL416" s="102"/>
      <c r="BM416" s="102"/>
      <c r="BN416" s="102"/>
      <c r="BO416" s="102"/>
      <c r="BP416" s="102"/>
      <c r="BQ416" s="102"/>
      <c r="BR416" s="102"/>
      <c r="BS416" s="102"/>
      <c r="BT416" s="102"/>
      <c r="BU416" s="102"/>
    </row>
    <row r="417" spans="15:73"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  <c r="AA417" s="102"/>
      <c r="AB417" s="102"/>
      <c r="AC417" s="102"/>
      <c r="AD417" s="102"/>
      <c r="AE417" s="102"/>
      <c r="AF417" s="102"/>
      <c r="AG417" s="102"/>
      <c r="AH417" s="102"/>
      <c r="AI417" s="102"/>
      <c r="AJ417" s="102"/>
      <c r="AK417" s="102"/>
      <c r="AL417" s="102"/>
      <c r="AM417" s="102"/>
      <c r="AN417" s="102"/>
      <c r="AO417" s="102"/>
      <c r="AP417" s="102"/>
      <c r="AQ417" s="102"/>
      <c r="AR417" s="102"/>
      <c r="AS417" s="102"/>
      <c r="AT417" s="102"/>
      <c r="AU417" s="102"/>
      <c r="AV417" s="102"/>
      <c r="AW417" s="102"/>
      <c r="AX417" s="102"/>
      <c r="AY417" s="102"/>
      <c r="AZ417" s="102"/>
      <c r="BA417" s="102"/>
      <c r="BB417" s="102"/>
      <c r="BC417" s="102"/>
      <c r="BD417" s="102"/>
      <c r="BE417" s="102"/>
      <c r="BF417" s="102"/>
      <c r="BG417" s="102"/>
      <c r="BH417" s="102"/>
      <c r="BI417" s="102"/>
      <c r="BJ417" s="102"/>
      <c r="BK417" s="102"/>
      <c r="BL417" s="102"/>
      <c r="BM417" s="102"/>
      <c r="BN417" s="102"/>
      <c r="BO417" s="102"/>
      <c r="BP417" s="102"/>
      <c r="BQ417" s="102"/>
      <c r="BR417" s="102"/>
      <c r="BS417" s="102"/>
      <c r="BT417" s="102"/>
      <c r="BU417" s="102"/>
    </row>
    <row r="418" spans="15:73"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  <c r="AA418" s="102"/>
      <c r="AB418" s="102"/>
      <c r="AC418" s="102"/>
      <c r="AD418" s="102"/>
      <c r="AE418" s="102"/>
      <c r="AF418" s="102"/>
      <c r="AG418" s="102"/>
      <c r="AH418" s="102"/>
      <c r="AI418" s="102"/>
      <c r="AJ418" s="102"/>
      <c r="AK418" s="102"/>
      <c r="AL418" s="102"/>
      <c r="AM418" s="102"/>
      <c r="AN418" s="102"/>
      <c r="AO418" s="102"/>
      <c r="AP418" s="102"/>
      <c r="AQ418" s="102"/>
      <c r="AR418" s="102"/>
      <c r="AS418" s="102"/>
      <c r="AT418" s="102"/>
      <c r="AU418" s="102"/>
      <c r="AV418" s="102"/>
      <c r="AW418" s="102"/>
      <c r="AX418" s="102"/>
      <c r="AY418" s="102"/>
      <c r="AZ418" s="102"/>
      <c r="BA418" s="102"/>
      <c r="BB418" s="102"/>
      <c r="BC418" s="102"/>
      <c r="BD418" s="102"/>
      <c r="BE418" s="102"/>
      <c r="BF418" s="102"/>
      <c r="BG418" s="102"/>
      <c r="BH418" s="102"/>
      <c r="BI418" s="102"/>
      <c r="BJ418" s="102"/>
      <c r="BK418" s="102"/>
      <c r="BL418" s="102"/>
      <c r="BM418" s="102"/>
      <c r="BN418" s="102"/>
      <c r="BO418" s="102"/>
      <c r="BP418" s="102"/>
      <c r="BQ418" s="102"/>
      <c r="BR418" s="102"/>
      <c r="BS418" s="102"/>
      <c r="BT418" s="102"/>
      <c r="BU418" s="102"/>
    </row>
    <row r="419" spans="15:73"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  <c r="AA419" s="102"/>
      <c r="AB419" s="102"/>
      <c r="AC419" s="102"/>
      <c r="AD419" s="102"/>
      <c r="AE419" s="102"/>
      <c r="AF419" s="102"/>
      <c r="AG419" s="102"/>
      <c r="AH419" s="102"/>
      <c r="AI419" s="102"/>
      <c r="AJ419" s="102"/>
      <c r="AK419" s="102"/>
      <c r="AL419" s="102"/>
      <c r="AM419" s="102"/>
      <c r="AN419" s="102"/>
      <c r="AO419" s="102"/>
      <c r="AP419" s="102"/>
      <c r="AQ419" s="102"/>
      <c r="AR419" s="102"/>
      <c r="AS419" s="102"/>
      <c r="AT419" s="102"/>
      <c r="AU419" s="102"/>
      <c r="AV419" s="102"/>
      <c r="AW419" s="102"/>
      <c r="AX419" s="102"/>
      <c r="AY419" s="102"/>
      <c r="AZ419" s="102"/>
      <c r="BA419" s="102"/>
      <c r="BB419" s="102"/>
      <c r="BC419" s="102"/>
      <c r="BD419" s="102"/>
      <c r="BE419" s="102"/>
      <c r="BF419" s="102"/>
      <c r="BG419" s="102"/>
      <c r="BH419" s="102"/>
      <c r="BI419" s="102"/>
      <c r="BJ419" s="102"/>
      <c r="BK419" s="102"/>
      <c r="BL419" s="102"/>
      <c r="BM419" s="102"/>
      <c r="BN419" s="102"/>
      <c r="BO419" s="102"/>
      <c r="BP419" s="102"/>
      <c r="BQ419" s="102"/>
      <c r="BR419" s="102"/>
      <c r="BS419" s="102"/>
      <c r="BT419" s="102"/>
      <c r="BU419" s="102"/>
    </row>
    <row r="420" spans="15:73"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02"/>
      <c r="AM420" s="102"/>
      <c r="AN420" s="102"/>
      <c r="AO420" s="102"/>
      <c r="AP420" s="102"/>
      <c r="AQ420" s="102"/>
      <c r="AR420" s="102"/>
      <c r="AS420" s="102"/>
      <c r="AT420" s="102"/>
      <c r="AU420" s="102"/>
      <c r="AV420" s="102"/>
      <c r="AW420" s="102"/>
      <c r="AX420" s="102"/>
      <c r="AY420" s="102"/>
      <c r="AZ420" s="102"/>
      <c r="BA420" s="102"/>
      <c r="BB420" s="102"/>
      <c r="BC420" s="102"/>
      <c r="BD420" s="102"/>
      <c r="BE420" s="102"/>
      <c r="BF420" s="102"/>
      <c r="BG420" s="102"/>
      <c r="BH420" s="102"/>
      <c r="BI420" s="102"/>
      <c r="BJ420" s="102"/>
      <c r="BK420" s="102"/>
      <c r="BL420" s="102"/>
      <c r="BM420" s="102"/>
      <c r="BN420" s="102"/>
      <c r="BO420" s="102"/>
      <c r="BP420" s="102"/>
      <c r="BQ420" s="102"/>
      <c r="BR420" s="102"/>
      <c r="BS420" s="102"/>
      <c r="BT420" s="102"/>
      <c r="BU420" s="102"/>
    </row>
    <row r="421" spans="15:73"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  <c r="AA421" s="102"/>
      <c r="AB421" s="102"/>
      <c r="AC421" s="102"/>
      <c r="AD421" s="102"/>
      <c r="AE421" s="102"/>
      <c r="AF421" s="102"/>
      <c r="AG421" s="102"/>
      <c r="AH421" s="102"/>
      <c r="AI421" s="102"/>
      <c r="AJ421" s="102"/>
      <c r="AK421" s="102"/>
      <c r="AL421" s="102"/>
      <c r="AM421" s="102"/>
      <c r="AN421" s="102"/>
      <c r="AO421" s="102"/>
      <c r="AP421" s="102"/>
      <c r="AQ421" s="102"/>
      <c r="AR421" s="102"/>
      <c r="AS421" s="102"/>
      <c r="AT421" s="102"/>
      <c r="AU421" s="102"/>
      <c r="AV421" s="102"/>
      <c r="AW421" s="102"/>
      <c r="AX421" s="102"/>
      <c r="AY421" s="102"/>
      <c r="AZ421" s="102"/>
      <c r="BA421" s="102"/>
      <c r="BB421" s="102"/>
      <c r="BC421" s="102"/>
      <c r="BD421" s="102"/>
      <c r="BE421" s="102"/>
      <c r="BF421" s="102"/>
      <c r="BG421" s="102"/>
      <c r="BH421" s="102"/>
      <c r="BI421" s="102"/>
      <c r="BJ421" s="102"/>
      <c r="BK421" s="102"/>
      <c r="BL421" s="102"/>
      <c r="BM421" s="102"/>
      <c r="BN421" s="102"/>
      <c r="BO421" s="102"/>
      <c r="BP421" s="102"/>
      <c r="BQ421" s="102"/>
      <c r="BR421" s="102"/>
      <c r="BS421" s="102"/>
      <c r="BT421" s="102"/>
      <c r="BU421" s="102"/>
    </row>
    <row r="422" spans="15:73"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  <c r="AA422" s="102"/>
      <c r="AB422" s="102"/>
      <c r="AC422" s="102"/>
      <c r="AD422" s="102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02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  <c r="BC422" s="102"/>
      <c r="BD422" s="102"/>
      <c r="BE422" s="102"/>
      <c r="BF422" s="102"/>
      <c r="BG422" s="102"/>
      <c r="BH422" s="102"/>
      <c r="BI422" s="102"/>
      <c r="BJ422" s="102"/>
      <c r="BK422" s="102"/>
      <c r="BL422" s="102"/>
      <c r="BM422" s="102"/>
      <c r="BN422" s="102"/>
      <c r="BO422" s="102"/>
      <c r="BP422" s="102"/>
      <c r="BQ422" s="102"/>
      <c r="BR422" s="102"/>
      <c r="BS422" s="102"/>
      <c r="BT422" s="102"/>
      <c r="BU422" s="102"/>
    </row>
    <row r="423" spans="15:73"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  <c r="AA423" s="102"/>
      <c r="AB423" s="102"/>
      <c r="AC423" s="102"/>
      <c r="AD423" s="102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02"/>
      <c r="AP423" s="102"/>
      <c r="AQ423" s="102"/>
      <c r="AR423" s="102"/>
      <c r="AS423" s="102"/>
      <c r="AT423" s="102"/>
      <c r="AU423" s="102"/>
      <c r="AV423" s="102"/>
      <c r="AW423" s="102"/>
      <c r="AX423" s="102"/>
      <c r="AY423" s="102"/>
      <c r="AZ423" s="102"/>
      <c r="BA423" s="102"/>
      <c r="BB423" s="102"/>
      <c r="BC423" s="102"/>
      <c r="BD423" s="102"/>
      <c r="BE423" s="102"/>
      <c r="BF423" s="102"/>
      <c r="BG423" s="102"/>
      <c r="BH423" s="102"/>
      <c r="BI423" s="102"/>
      <c r="BJ423" s="102"/>
      <c r="BK423" s="102"/>
      <c r="BL423" s="102"/>
      <c r="BM423" s="102"/>
      <c r="BN423" s="102"/>
      <c r="BO423" s="102"/>
      <c r="BP423" s="102"/>
      <c r="BQ423" s="102"/>
      <c r="BR423" s="102"/>
      <c r="BS423" s="102"/>
      <c r="BT423" s="102"/>
      <c r="BU423" s="102"/>
    </row>
    <row r="424" spans="15:73"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  <c r="AA424" s="102"/>
      <c r="AB424" s="102"/>
      <c r="AC424" s="102"/>
      <c r="AD424" s="102"/>
      <c r="AE424" s="102"/>
      <c r="AF424" s="102"/>
      <c r="AG424" s="102"/>
      <c r="AH424" s="102"/>
      <c r="AI424" s="102"/>
      <c r="AJ424" s="102"/>
      <c r="AK424" s="102"/>
      <c r="AL424" s="102"/>
      <c r="AM424" s="102"/>
      <c r="AN424" s="102"/>
      <c r="AO424" s="102"/>
      <c r="AP424" s="102"/>
      <c r="AQ424" s="102"/>
      <c r="AR424" s="102"/>
      <c r="AS424" s="102"/>
      <c r="AT424" s="102"/>
      <c r="AU424" s="102"/>
      <c r="AV424" s="102"/>
      <c r="AW424" s="102"/>
      <c r="AX424" s="102"/>
      <c r="AY424" s="102"/>
      <c r="AZ424" s="102"/>
      <c r="BA424" s="102"/>
      <c r="BB424" s="102"/>
      <c r="BC424" s="102"/>
      <c r="BD424" s="102"/>
      <c r="BE424" s="102"/>
      <c r="BF424" s="102"/>
      <c r="BG424" s="102"/>
      <c r="BH424" s="102"/>
      <c r="BI424" s="102"/>
      <c r="BJ424" s="102"/>
      <c r="BK424" s="102"/>
      <c r="BL424" s="102"/>
      <c r="BM424" s="102"/>
      <c r="BN424" s="102"/>
      <c r="BO424" s="102"/>
      <c r="BP424" s="102"/>
      <c r="BQ424" s="102"/>
      <c r="BR424" s="102"/>
      <c r="BS424" s="102"/>
      <c r="BT424" s="102"/>
      <c r="BU424" s="102"/>
    </row>
    <row r="425" spans="15:73"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  <c r="AA425" s="102"/>
      <c r="AB425" s="102"/>
      <c r="AC425" s="102"/>
      <c r="AD425" s="102"/>
      <c r="AE425" s="102"/>
      <c r="AF425" s="102"/>
      <c r="AG425" s="102"/>
      <c r="AH425" s="102"/>
      <c r="AI425" s="102"/>
      <c r="AJ425" s="102"/>
      <c r="AK425" s="102"/>
      <c r="AL425" s="102"/>
      <c r="AM425" s="102"/>
      <c r="AN425" s="102"/>
      <c r="AO425" s="102"/>
      <c r="AP425" s="102"/>
      <c r="AQ425" s="102"/>
      <c r="AR425" s="102"/>
      <c r="AS425" s="102"/>
      <c r="AT425" s="102"/>
      <c r="AU425" s="102"/>
      <c r="AV425" s="102"/>
      <c r="AW425" s="102"/>
      <c r="AX425" s="102"/>
      <c r="AY425" s="102"/>
      <c r="AZ425" s="102"/>
      <c r="BA425" s="102"/>
      <c r="BB425" s="102"/>
      <c r="BC425" s="102"/>
      <c r="BD425" s="102"/>
      <c r="BE425" s="102"/>
      <c r="BF425" s="102"/>
      <c r="BG425" s="102"/>
      <c r="BH425" s="102"/>
      <c r="BI425" s="102"/>
      <c r="BJ425" s="102"/>
      <c r="BK425" s="102"/>
      <c r="BL425" s="102"/>
      <c r="BM425" s="102"/>
      <c r="BN425" s="102"/>
      <c r="BO425" s="102"/>
      <c r="BP425" s="102"/>
      <c r="BQ425" s="102"/>
      <c r="BR425" s="102"/>
      <c r="BS425" s="102"/>
      <c r="BT425" s="102"/>
      <c r="BU425" s="102"/>
    </row>
    <row r="426" spans="15:73"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  <c r="AA426" s="102"/>
      <c r="AB426" s="102"/>
      <c r="AC426" s="102"/>
      <c r="AD426" s="102"/>
      <c r="AE426" s="102"/>
      <c r="AF426" s="102"/>
      <c r="AG426" s="102"/>
      <c r="AH426" s="102"/>
      <c r="AI426" s="102"/>
      <c r="AJ426" s="102"/>
      <c r="AK426" s="102"/>
      <c r="AL426" s="102"/>
      <c r="AM426" s="102"/>
      <c r="AN426" s="102"/>
      <c r="AO426" s="102"/>
      <c r="AP426" s="102"/>
      <c r="AQ426" s="102"/>
      <c r="AR426" s="102"/>
      <c r="AS426" s="102"/>
      <c r="AT426" s="102"/>
      <c r="AU426" s="102"/>
      <c r="AV426" s="102"/>
      <c r="AW426" s="102"/>
      <c r="AX426" s="102"/>
      <c r="AY426" s="102"/>
      <c r="AZ426" s="102"/>
      <c r="BA426" s="102"/>
      <c r="BB426" s="102"/>
      <c r="BC426" s="102"/>
      <c r="BD426" s="102"/>
      <c r="BE426" s="102"/>
      <c r="BF426" s="102"/>
      <c r="BG426" s="102"/>
      <c r="BH426" s="102"/>
      <c r="BI426" s="102"/>
      <c r="BJ426" s="102"/>
      <c r="BK426" s="102"/>
      <c r="BL426" s="102"/>
      <c r="BM426" s="102"/>
      <c r="BN426" s="102"/>
      <c r="BO426" s="102"/>
      <c r="BP426" s="102"/>
      <c r="BQ426" s="102"/>
      <c r="BR426" s="102"/>
      <c r="BS426" s="102"/>
      <c r="BT426" s="102"/>
      <c r="BU426" s="102"/>
    </row>
    <row r="427" spans="15:73"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  <c r="AA427" s="102"/>
      <c r="AB427" s="102"/>
      <c r="AC427" s="102"/>
      <c r="AD427" s="102"/>
      <c r="AE427" s="102"/>
      <c r="AF427" s="102"/>
      <c r="AG427" s="102"/>
      <c r="AH427" s="102"/>
      <c r="AI427" s="102"/>
      <c r="AJ427" s="102"/>
      <c r="AK427" s="102"/>
      <c r="AL427" s="102"/>
      <c r="AM427" s="102"/>
      <c r="AN427" s="102"/>
      <c r="AO427" s="102"/>
      <c r="AP427" s="102"/>
      <c r="AQ427" s="102"/>
      <c r="AR427" s="102"/>
      <c r="AS427" s="102"/>
      <c r="AT427" s="102"/>
      <c r="AU427" s="102"/>
      <c r="AV427" s="102"/>
      <c r="AW427" s="102"/>
      <c r="AX427" s="102"/>
      <c r="AY427" s="102"/>
      <c r="AZ427" s="102"/>
      <c r="BA427" s="102"/>
      <c r="BB427" s="102"/>
      <c r="BC427" s="102"/>
      <c r="BD427" s="102"/>
      <c r="BE427" s="102"/>
      <c r="BF427" s="102"/>
      <c r="BG427" s="102"/>
      <c r="BH427" s="102"/>
      <c r="BI427" s="102"/>
      <c r="BJ427" s="102"/>
      <c r="BK427" s="102"/>
      <c r="BL427" s="102"/>
      <c r="BM427" s="102"/>
      <c r="BN427" s="102"/>
      <c r="BO427" s="102"/>
      <c r="BP427" s="102"/>
      <c r="BQ427" s="102"/>
      <c r="BR427" s="102"/>
      <c r="BS427" s="102"/>
      <c r="BT427" s="102"/>
      <c r="BU427" s="102"/>
    </row>
    <row r="428" spans="15:73"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  <c r="AA428" s="102"/>
      <c r="AB428" s="102"/>
      <c r="AC428" s="102"/>
      <c r="AD428" s="102"/>
      <c r="AE428" s="102"/>
      <c r="AF428" s="102"/>
      <c r="AG428" s="102"/>
      <c r="AH428" s="102"/>
      <c r="AI428" s="102"/>
      <c r="AJ428" s="102"/>
      <c r="AK428" s="102"/>
      <c r="AL428" s="102"/>
      <c r="AM428" s="102"/>
      <c r="AN428" s="102"/>
      <c r="AO428" s="102"/>
      <c r="AP428" s="102"/>
      <c r="AQ428" s="102"/>
      <c r="AR428" s="102"/>
      <c r="AS428" s="102"/>
      <c r="AT428" s="102"/>
      <c r="AU428" s="102"/>
      <c r="AV428" s="102"/>
      <c r="AW428" s="102"/>
      <c r="AX428" s="102"/>
      <c r="AY428" s="102"/>
      <c r="AZ428" s="102"/>
      <c r="BA428" s="102"/>
      <c r="BB428" s="102"/>
      <c r="BC428" s="102"/>
      <c r="BD428" s="102"/>
      <c r="BE428" s="102"/>
      <c r="BF428" s="102"/>
      <c r="BG428" s="102"/>
      <c r="BH428" s="102"/>
      <c r="BI428" s="102"/>
      <c r="BJ428" s="102"/>
      <c r="BK428" s="102"/>
      <c r="BL428" s="102"/>
      <c r="BM428" s="102"/>
      <c r="BN428" s="102"/>
      <c r="BO428" s="102"/>
      <c r="BP428" s="102"/>
      <c r="BQ428" s="102"/>
      <c r="BR428" s="102"/>
      <c r="BS428" s="102"/>
      <c r="BT428" s="102"/>
      <c r="BU428" s="102"/>
    </row>
    <row r="429" spans="15:73"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  <c r="AA429" s="102"/>
      <c r="AB429" s="102"/>
      <c r="AC429" s="102"/>
      <c r="AD429" s="102"/>
      <c r="AE429" s="102"/>
      <c r="AF429" s="102"/>
      <c r="AG429" s="102"/>
      <c r="AH429" s="102"/>
      <c r="AI429" s="102"/>
      <c r="AJ429" s="102"/>
      <c r="AK429" s="102"/>
      <c r="AL429" s="102"/>
      <c r="AM429" s="102"/>
      <c r="AN429" s="102"/>
      <c r="AO429" s="102"/>
      <c r="AP429" s="102"/>
      <c r="AQ429" s="102"/>
      <c r="AR429" s="102"/>
      <c r="AS429" s="102"/>
      <c r="AT429" s="102"/>
      <c r="AU429" s="102"/>
      <c r="AV429" s="102"/>
      <c r="AW429" s="102"/>
      <c r="AX429" s="102"/>
      <c r="AY429" s="102"/>
      <c r="AZ429" s="102"/>
      <c r="BA429" s="102"/>
      <c r="BB429" s="102"/>
      <c r="BC429" s="102"/>
      <c r="BD429" s="102"/>
      <c r="BE429" s="102"/>
      <c r="BF429" s="102"/>
      <c r="BG429" s="102"/>
      <c r="BH429" s="102"/>
      <c r="BI429" s="102"/>
      <c r="BJ429" s="102"/>
      <c r="BK429" s="102"/>
      <c r="BL429" s="102"/>
      <c r="BM429" s="102"/>
      <c r="BN429" s="102"/>
      <c r="BO429" s="102"/>
      <c r="BP429" s="102"/>
      <c r="BQ429" s="102"/>
      <c r="BR429" s="102"/>
      <c r="BS429" s="102"/>
      <c r="BT429" s="102"/>
      <c r="BU429" s="102"/>
    </row>
    <row r="430" spans="15:73"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  <c r="AA430" s="102"/>
      <c r="AB430" s="102"/>
      <c r="AC430" s="102"/>
      <c r="AD430" s="102"/>
      <c r="AE430" s="102"/>
      <c r="AF430" s="102"/>
      <c r="AG430" s="102"/>
      <c r="AH430" s="102"/>
      <c r="AI430" s="102"/>
      <c r="AJ430" s="102"/>
      <c r="AK430" s="102"/>
      <c r="AL430" s="102"/>
      <c r="AM430" s="102"/>
      <c r="AN430" s="102"/>
      <c r="AO430" s="102"/>
      <c r="AP430" s="102"/>
      <c r="AQ430" s="102"/>
      <c r="AR430" s="102"/>
      <c r="AS430" s="102"/>
      <c r="AT430" s="102"/>
      <c r="AU430" s="102"/>
      <c r="AV430" s="102"/>
      <c r="AW430" s="102"/>
      <c r="AX430" s="102"/>
      <c r="AY430" s="102"/>
      <c r="AZ430" s="102"/>
      <c r="BA430" s="102"/>
      <c r="BB430" s="102"/>
      <c r="BC430" s="102"/>
      <c r="BD430" s="102"/>
      <c r="BE430" s="102"/>
      <c r="BF430" s="102"/>
      <c r="BG430" s="102"/>
      <c r="BH430" s="102"/>
      <c r="BI430" s="102"/>
      <c r="BJ430" s="102"/>
      <c r="BK430" s="102"/>
      <c r="BL430" s="102"/>
      <c r="BM430" s="102"/>
      <c r="BN430" s="102"/>
      <c r="BO430" s="102"/>
      <c r="BP430" s="102"/>
      <c r="BQ430" s="102"/>
      <c r="BR430" s="102"/>
      <c r="BS430" s="102"/>
      <c r="BT430" s="102"/>
      <c r="BU430" s="102"/>
    </row>
    <row r="431" spans="15:73"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2"/>
      <c r="AB431" s="102"/>
      <c r="AC431" s="102"/>
      <c r="AD431" s="102"/>
      <c r="AE431" s="102"/>
      <c r="AF431" s="102"/>
      <c r="AG431" s="102"/>
      <c r="AH431" s="102"/>
      <c r="AI431" s="102"/>
      <c r="AJ431" s="102"/>
      <c r="AK431" s="102"/>
      <c r="AL431" s="102"/>
      <c r="AM431" s="102"/>
      <c r="AN431" s="102"/>
      <c r="AO431" s="102"/>
      <c r="AP431" s="102"/>
      <c r="AQ431" s="102"/>
      <c r="AR431" s="102"/>
      <c r="AS431" s="102"/>
      <c r="AT431" s="102"/>
      <c r="AU431" s="102"/>
      <c r="AV431" s="102"/>
      <c r="AW431" s="102"/>
      <c r="AX431" s="102"/>
      <c r="AY431" s="102"/>
      <c r="AZ431" s="102"/>
      <c r="BA431" s="102"/>
      <c r="BB431" s="102"/>
      <c r="BC431" s="102"/>
      <c r="BD431" s="102"/>
      <c r="BE431" s="102"/>
      <c r="BF431" s="102"/>
      <c r="BG431" s="102"/>
      <c r="BH431" s="102"/>
      <c r="BI431" s="102"/>
      <c r="BJ431" s="102"/>
      <c r="BK431" s="102"/>
      <c r="BL431" s="102"/>
      <c r="BM431" s="102"/>
      <c r="BN431" s="102"/>
      <c r="BO431" s="102"/>
      <c r="BP431" s="102"/>
      <c r="BQ431" s="102"/>
      <c r="BR431" s="102"/>
      <c r="BS431" s="102"/>
      <c r="BT431" s="102"/>
      <c r="BU431" s="102"/>
    </row>
    <row r="432" spans="15:73"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  <c r="AA432" s="102"/>
      <c r="AB432" s="102"/>
      <c r="AC432" s="102"/>
      <c r="AD432" s="102"/>
      <c r="AE432" s="102"/>
      <c r="AF432" s="102"/>
      <c r="AG432" s="102"/>
      <c r="AH432" s="102"/>
      <c r="AI432" s="102"/>
      <c r="AJ432" s="102"/>
      <c r="AK432" s="102"/>
      <c r="AL432" s="102"/>
      <c r="AM432" s="102"/>
      <c r="AN432" s="102"/>
      <c r="AO432" s="102"/>
      <c r="AP432" s="102"/>
      <c r="AQ432" s="102"/>
      <c r="AR432" s="102"/>
      <c r="AS432" s="102"/>
      <c r="AT432" s="102"/>
      <c r="AU432" s="102"/>
      <c r="AV432" s="102"/>
      <c r="AW432" s="102"/>
      <c r="AX432" s="102"/>
      <c r="AY432" s="102"/>
      <c r="AZ432" s="102"/>
      <c r="BA432" s="102"/>
      <c r="BB432" s="102"/>
      <c r="BC432" s="102"/>
      <c r="BD432" s="102"/>
      <c r="BE432" s="102"/>
      <c r="BF432" s="102"/>
      <c r="BG432" s="102"/>
      <c r="BH432" s="102"/>
      <c r="BI432" s="102"/>
      <c r="BJ432" s="102"/>
      <c r="BK432" s="102"/>
      <c r="BL432" s="102"/>
      <c r="BM432" s="102"/>
      <c r="BN432" s="102"/>
      <c r="BO432" s="102"/>
      <c r="BP432" s="102"/>
      <c r="BQ432" s="102"/>
      <c r="BR432" s="102"/>
      <c r="BS432" s="102"/>
      <c r="BT432" s="102"/>
      <c r="BU432" s="102"/>
    </row>
    <row r="433" spans="15:73"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  <c r="AA433" s="102"/>
      <c r="AB433" s="102"/>
      <c r="AC433" s="102"/>
      <c r="AD433" s="102"/>
      <c r="AE433" s="102"/>
      <c r="AF433" s="102"/>
      <c r="AG433" s="102"/>
      <c r="AH433" s="102"/>
      <c r="AI433" s="102"/>
      <c r="AJ433" s="102"/>
      <c r="AK433" s="102"/>
      <c r="AL433" s="102"/>
      <c r="AM433" s="102"/>
      <c r="AN433" s="102"/>
      <c r="AO433" s="102"/>
      <c r="AP433" s="102"/>
      <c r="AQ433" s="102"/>
      <c r="AR433" s="102"/>
      <c r="AS433" s="102"/>
      <c r="AT433" s="102"/>
      <c r="AU433" s="102"/>
      <c r="AV433" s="102"/>
      <c r="AW433" s="102"/>
      <c r="AX433" s="102"/>
      <c r="AY433" s="102"/>
      <c r="AZ433" s="102"/>
      <c r="BA433" s="102"/>
      <c r="BB433" s="102"/>
      <c r="BC433" s="102"/>
      <c r="BD433" s="102"/>
      <c r="BE433" s="102"/>
      <c r="BF433" s="102"/>
      <c r="BG433" s="102"/>
      <c r="BH433" s="102"/>
      <c r="BI433" s="102"/>
      <c r="BJ433" s="102"/>
      <c r="BK433" s="102"/>
      <c r="BL433" s="102"/>
      <c r="BM433" s="102"/>
      <c r="BN433" s="102"/>
      <c r="BO433" s="102"/>
      <c r="BP433" s="102"/>
      <c r="BQ433" s="102"/>
      <c r="BR433" s="102"/>
      <c r="BS433" s="102"/>
      <c r="BT433" s="102"/>
      <c r="BU433" s="102"/>
    </row>
    <row r="434" spans="15:73"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  <c r="AA434" s="102"/>
      <c r="AB434" s="102"/>
      <c r="AC434" s="102"/>
      <c r="AD434" s="102"/>
      <c r="AE434" s="102"/>
      <c r="AF434" s="102"/>
      <c r="AG434" s="102"/>
      <c r="AH434" s="102"/>
      <c r="AI434" s="102"/>
      <c r="AJ434" s="102"/>
      <c r="AK434" s="102"/>
      <c r="AL434" s="102"/>
      <c r="AM434" s="102"/>
      <c r="AN434" s="102"/>
      <c r="AO434" s="102"/>
      <c r="AP434" s="102"/>
      <c r="AQ434" s="102"/>
      <c r="AR434" s="102"/>
      <c r="AS434" s="102"/>
      <c r="AT434" s="102"/>
      <c r="AU434" s="102"/>
      <c r="AV434" s="102"/>
      <c r="AW434" s="102"/>
      <c r="AX434" s="102"/>
      <c r="AY434" s="102"/>
      <c r="AZ434" s="102"/>
      <c r="BA434" s="102"/>
      <c r="BB434" s="102"/>
      <c r="BC434" s="102"/>
      <c r="BD434" s="102"/>
      <c r="BE434" s="102"/>
      <c r="BF434" s="102"/>
      <c r="BG434" s="102"/>
      <c r="BH434" s="102"/>
      <c r="BI434" s="102"/>
      <c r="BJ434" s="102"/>
      <c r="BK434" s="102"/>
      <c r="BL434" s="102"/>
      <c r="BM434" s="102"/>
      <c r="BN434" s="102"/>
      <c r="BO434" s="102"/>
      <c r="BP434" s="102"/>
      <c r="BQ434" s="102"/>
      <c r="BR434" s="102"/>
      <c r="BS434" s="102"/>
      <c r="BT434" s="102"/>
      <c r="BU434" s="102"/>
    </row>
    <row r="435" spans="15:73"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  <c r="AA435" s="102"/>
      <c r="AB435" s="102"/>
      <c r="AC435" s="102"/>
      <c r="AD435" s="102"/>
      <c r="AE435" s="102"/>
      <c r="AF435" s="102"/>
      <c r="AG435" s="102"/>
      <c r="AH435" s="102"/>
      <c r="AI435" s="102"/>
      <c r="AJ435" s="102"/>
      <c r="AK435" s="102"/>
      <c r="AL435" s="102"/>
      <c r="AM435" s="102"/>
      <c r="AN435" s="102"/>
      <c r="AO435" s="102"/>
      <c r="AP435" s="102"/>
      <c r="AQ435" s="102"/>
      <c r="AR435" s="102"/>
      <c r="AS435" s="102"/>
      <c r="AT435" s="102"/>
      <c r="AU435" s="102"/>
      <c r="AV435" s="102"/>
      <c r="AW435" s="102"/>
      <c r="AX435" s="102"/>
      <c r="AY435" s="102"/>
      <c r="AZ435" s="102"/>
      <c r="BA435" s="102"/>
      <c r="BB435" s="102"/>
      <c r="BC435" s="102"/>
      <c r="BD435" s="102"/>
      <c r="BE435" s="102"/>
      <c r="BF435" s="102"/>
      <c r="BG435" s="102"/>
      <c r="BH435" s="102"/>
      <c r="BI435" s="102"/>
      <c r="BJ435" s="102"/>
      <c r="BK435" s="102"/>
      <c r="BL435" s="102"/>
      <c r="BM435" s="102"/>
      <c r="BN435" s="102"/>
      <c r="BO435" s="102"/>
      <c r="BP435" s="102"/>
      <c r="BQ435" s="102"/>
      <c r="BR435" s="102"/>
      <c r="BS435" s="102"/>
      <c r="BT435" s="102"/>
      <c r="BU435" s="102"/>
    </row>
    <row r="436" spans="15:73"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  <c r="AA436" s="102"/>
      <c r="AB436" s="102"/>
      <c r="AC436" s="102"/>
      <c r="AD436" s="102"/>
      <c r="AE436" s="102"/>
      <c r="AF436" s="102"/>
      <c r="AG436" s="102"/>
      <c r="AH436" s="102"/>
      <c r="AI436" s="102"/>
      <c r="AJ436" s="102"/>
      <c r="AK436" s="102"/>
      <c r="AL436" s="102"/>
      <c r="AM436" s="102"/>
      <c r="AN436" s="102"/>
      <c r="AO436" s="102"/>
      <c r="AP436" s="102"/>
      <c r="AQ436" s="102"/>
      <c r="AR436" s="102"/>
      <c r="AS436" s="102"/>
      <c r="AT436" s="102"/>
      <c r="AU436" s="102"/>
      <c r="AV436" s="102"/>
      <c r="AW436" s="102"/>
      <c r="AX436" s="102"/>
      <c r="AY436" s="102"/>
      <c r="AZ436" s="102"/>
      <c r="BA436" s="102"/>
      <c r="BB436" s="102"/>
      <c r="BC436" s="102"/>
      <c r="BD436" s="102"/>
      <c r="BE436" s="102"/>
      <c r="BF436" s="102"/>
      <c r="BG436" s="102"/>
      <c r="BH436" s="102"/>
      <c r="BI436" s="102"/>
      <c r="BJ436" s="102"/>
      <c r="BK436" s="102"/>
      <c r="BL436" s="102"/>
      <c r="BM436" s="102"/>
      <c r="BN436" s="102"/>
      <c r="BO436" s="102"/>
      <c r="BP436" s="102"/>
      <c r="BQ436" s="102"/>
      <c r="BR436" s="102"/>
      <c r="BS436" s="102"/>
      <c r="BT436" s="102"/>
      <c r="BU436" s="102"/>
    </row>
    <row r="437" spans="15:73"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  <c r="AA437" s="102"/>
      <c r="AB437" s="102"/>
      <c r="AC437" s="102"/>
      <c r="AD437" s="102"/>
      <c r="AE437" s="102"/>
      <c r="AF437" s="102"/>
      <c r="AG437" s="102"/>
      <c r="AH437" s="102"/>
      <c r="AI437" s="102"/>
      <c r="AJ437" s="102"/>
      <c r="AK437" s="102"/>
      <c r="AL437" s="102"/>
      <c r="AM437" s="102"/>
      <c r="AN437" s="102"/>
      <c r="AO437" s="102"/>
      <c r="AP437" s="102"/>
      <c r="AQ437" s="102"/>
      <c r="AR437" s="102"/>
      <c r="AS437" s="102"/>
      <c r="AT437" s="102"/>
      <c r="AU437" s="102"/>
      <c r="AV437" s="102"/>
      <c r="AW437" s="102"/>
      <c r="AX437" s="102"/>
      <c r="AY437" s="102"/>
      <c r="AZ437" s="102"/>
      <c r="BA437" s="102"/>
      <c r="BB437" s="102"/>
      <c r="BC437" s="102"/>
      <c r="BD437" s="102"/>
      <c r="BE437" s="102"/>
      <c r="BF437" s="102"/>
      <c r="BG437" s="102"/>
      <c r="BH437" s="102"/>
      <c r="BI437" s="102"/>
      <c r="BJ437" s="102"/>
      <c r="BK437" s="102"/>
      <c r="BL437" s="102"/>
      <c r="BM437" s="102"/>
      <c r="BN437" s="102"/>
      <c r="BO437" s="102"/>
      <c r="BP437" s="102"/>
      <c r="BQ437" s="102"/>
      <c r="BR437" s="102"/>
      <c r="BS437" s="102"/>
      <c r="BT437" s="102"/>
      <c r="BU437" s="102"/>
    </row>
    <row r="438" spans="15:73"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2"/>
      <c r="AB438" s="102"/>
      <c r="AC438" s="102"/>
      <c r="AD438" s="102"/>
      <c r="AE438" s="102"/>
      <c r="AF438" s="102"/>
      <c r="AG438" s="102"/>
      <c r="AH438" s="102"/>
      <c r="AI438" s="102"/>
      <c r="AJ438" s="102"/>
      <c r="AK438" s="102"/>
      <c r="AL438" s="102"/>
      <c r="AM438" s="102"/>
      <c r="AN438" s="102"/>
      <c r="AO438" s="102"/>
      <c r="AP438" s="102"/>
      <c r="AQ438" s="102"/>
      <c r="AR438" s="102"/>
      <c r="AS438" s="102"/>
      <c r="AT438" s="102"/>
      <c r="AU438" s="102"/>
      <c r="AV438" s="102"/>
      <c r="AW438" s="102"/>
      <c r="AX438" s="102"/>
      <c r="AY438" s="102"/>
      <c r="AZ438" s="102"/>
      <c r="BA438" s="102"/>
      <c r="BB438" s="102"/>
      <c r="BC438" s="102"/>
      <c r="BD438" s="102"/>
      <c r="BE438" s="102"/>
      <c r="BF438" s="102"/>
      <c r="BG438" s="102"/>
      <c r="BH438" s="102"/>
      <c r="BI438" s="102"/>
      <c r="BJ438" s="102"/>
      <c r="BK438" s="102"/>
      <c r="BL438" s="102"/>
      <c r="BM438" s="102"/>
      <c r="BN438" s="102"/>
      <c r="BO438" s="102"/>
      <c r="BP438" s="102"/>
      <c r="BQ438" s="102"/>
      <c r="BR438" s="102"/>
      <c r="BS438" s="102"/>
      <c r="BT438" s="102"/>
      <c r="BU438" s="102"/>
    </row>
    <row r="439" spans="15:73"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  <c r="AA439" s="102"/>
      <c r="AB439" s="102"/>
      <c r="AC439" s="102"/>
      <c r="AD439" s="102"/>
      <c r="AE439" s="102"/>
      <c r="AF439" s="102"/>
      <c r="AG439" s="102"/>
      <c r="AH439" s="102"/>
      <c r="AI439" s="102"/>
      <c r="AJ439" s="102"/>
      <c r="AK439" s="102"/>
      <c r="AL439" s="102"/>
      <c r="AM439" s="102"/>
      <c r="AN439" s="102"/>
      <c r="AO439" s="102"/>
      <c r="AP439" s="102"/>
      <c r="AQ439" s="102"/>
      <c r="AR439" s="102"/>
      <c r="AS439" s="102"/>
      <c r="AT439" s="102"/>
      <c r="AU439" s="102"/>
      <c r="AV439" s="102"/>
      <c r="AW439" s="102"/>
      <c r="AX439" s="102"/>
      <c r="AY439" s="102"/>
      <c r="AZ439" s="102"/>
      <c r="BA439" s="102"/>
      <c r="BB439" s="102"/>
      <c r="BC439" s="102"/>
      <c r="BD439" s="102"/>
      <c r="BE439" s="102"/>
      <c r="BF439" s="102"/>
      <c r="BG439" s="102"/>
      <c r="BH439" s="102"/>
      <c r="BI439" s="102"/>
      <c r="BJ439" s="102"/>
      <c r="BK439" s="102"/>
      <c r="BL439" s="102"/>
      <c r="BM439" s="102"/>
      <c r="BN439" s="102"/>
      <c r="BO439" s="102"/>
      <c r="BP439" s="102"/>
      <c r="BQ439" s="102"/>
      <c r="BR439" s="102"/>
      <c r="BS439" s="102"/>
      <c r="BT439" s="102"/>
      <c r="BU439" s="102"/>
    </row>
    <row r="440" spans="15:73"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  <c r="AA440" s="102"/>
      <c r="AB440" s="102"/>
      <c r="AC440" s="102"/>
      <c r="AD440" s="102"/>
      <c r="AE440" s="102"/>
      <c r="AF440" s="102"/>
      <c r="AG440" s="102"/>
      <c r="AH440" s="102"/>
      <c r="AI440" s="102"/>
      <c r="AJ440" s="102"/>
      <c r="AK440" s="102"/>
      <c r="AL440" s="102"/>
      <c r="AM440" s="102"/>
      <c r="AN440" s="102"/>
      <c r="AO440" s="102"/>
      <c r="AP440" s="102"/>
      <c r="AQ440" s="102"/>
      <c r="AR440" s="102"/>
      <c r="AS440" s="102"/>
      <c r="AT440" s="102"/>
      <c r="AU440" s="102"/>
      <c r="AV440" s="102"/>
      <c r="AW440" s="102"/>
      <c r="AX440" s="102"/>
      <c r="AY440" s="102"/>
      <c r="AZ440" s="102"/>
      <c r="BA440" s="102"/>
      <c r="BB440" s="102"/>
      <c r="BC440" s="102"/>
      <c r="BD440" s="102"/>
      <c r="BE440" s="102"/>
      <c r="BF440" s="102"/>
      <c r="BG440" s="102"/>
      <c r="BH440" s="102"/>
      <c r="BI440" s="102"/>
      <c r="BJ440" s="102"/>
      <c r="BK440" s="102"/>
      <c r="BL440" s="102"/>
      <c r="BM440" s="102"/>
      <c r="BN440" s="102"/>
      <c r="BO440" s="102"/>
      <c r="BP440" s="102"/>
      <c r="BQ440" s="102"/>
      <c r="BR440" s="102"/>
      <c r="BS440" s="102"/>
      <c r="BT440" s="102"/>
      <c r="BU440" s="102"/>
    </row>
    <row r="441" spans="15:73"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02"/>
      <c r="AM441" s="102"/>
      <c r="AN441" s="102"/>
      <c r="AO441" s="102"/>
      <c r="AP441" s="102"/>
      <c r="AQ441" s="102"/>
      <c r="AR441" s="102"/>
      <c r="AS441" s="102"/>
      <c r="AT441" s="102"/>
      <c r="AU441" s="102"/>
      <c r="AV441" s="102"/>
      <c r="AW441" s="102"/>
      <c r="AX441" s="102"/>
      <c r="AY441" s="102"/>
      <c r="AZ441" s="102"/>
      <c r="BA441" s="102"/>
      <c r="BB441" s="102"/>
      <c r="BC441" s="102"/>
      <c r="BD441" s="102"/>
      <c r="BE441" s="102"/>
      <c r="BF441" s="102"/>
      <c r="BG441" s="102"/>
      <c r="BH441" s="102"/>
      <c r="BI441" s="102"/>
      <c r="BJ441" s="102"/>
      <c r="BK441" s="102"/>
      <c r="BL441" s="102"/>
      <c r="BM441" s="102"/>
      <c r="BN441" s="102"/>
      <c r="BO441" s="102"/>
      <c r="BP441" s="102"/>
      <c r="BQ441" s="102"/>
      <c r="BR441" s="102"/>
      <c r="BS441" s="102"/>
      <c r="BT441" s="102"/>
      <c r="BU441" s="102"/>
    </row>
    <row r="442" spans="15:73"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  <c r="AA442" s="102"/>
      <c r="AB442" s="102"/>
      <c r="AC442" s="102"/>
      <c r="AD442" s="102"/>
      <c r="AE442" s="102"/>
      <c r="AF442" s="102"/>
      <c r="AG442" s="102"/>
      <c r="AH442" s="102"/>
      <c r="AI442" s="102"/>
      <c r="AJ442" s="102"/>
      <c r="AK442" s="102"/>
      <c r="AL442" s="102"/>
      <c r="AM442" s="102"/>
      <c r="AN442" s="102"/>
      <c r="AO442" s="102"/>
      <c r="AP442" s="102"/>
      <c r="AQ442" s="102"/>
      <c r="AR442" s="102"/>
      <c r="AS442" s="102"/>
      <c r="AT442" s="102"/>
      <c r="AU442" s="102"/>
      <c r="AV442" s="102"/>
      <c r="AW442" s="102"/>
      <c r="AX442" s="102"/>
      <c r="AY442" s="102"/>
      <c r="AZ442" s="102"/>
      <c r="BA442" s="102"/>
      <c r="BB442" s="102"/>
      <c r="BC442" s="102"/>
      <c r="BD442" s="102"/>
      <c r="BE442" s="102"/>
      <c r="BF442" s="102"/>
      <c r="BG442" s="102"/>
      <c r="BH442" s="102"/>
      <c r="BI442" s="102"/>
      <c r="BJ442" s="102"/>
      <c r="BK442" s="102"/>
      <c r="BL442" s="102"/>
      <c r="BM442" s="102"/>
      <c r="BN442" s="102"/>
      <c r="BO442" s="102"/>
      <c r="BP442" s="102"/>
      <c r="BQ442" s="102"/>
      <c r="BR442" s="102"/>
      <c r="BS442" s="102"/>
      <c r="BT442" s="102"/>
      <c r="BU442" s="102"/>
    </row>
    <row r="443" spans="15:73"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  <c r="AA443" s="102"/>
      <c r="AB443" s="102"/>
      <c r="AC443" s="102"/>
      <c r="AD443" s="102"/>
      <c r="AE443" s="102"/>
      <c r="AF443" s="102"/>
      <c r="AG443" s="102"/>
      <c r="AH443" s="102"/>
      <c r="AI443" s="102"/>
      <c r="AJ443" s="102"/>
      <c r="AK443" s="102"/>
      <c r="AL443" s="102"/>
      <c r="AM443" s="102"/>
      <c r="AN443" s="102"/>
      <c r="AO443" s="102"/>
      <c r="AP443" s="102"/>
      <c r="AQ443" s="102"/>
      <c r="AR443" s="102"/>
      <c r="AS443" s="102"/>
      <c r="AT443" s="102"/>
      <c r="AU443" s="102"/>
      <c r="AV443" s="102"/>
      <c r="AW443" s="102"/>
      <c r="AX443" s="102"/>
      <c r="AY443" s="102"/>
      <c r="AZ443" s="102"/>
      <c r="BA443" s="102"/>
      <c r="BB443" s="102"/>
      <c r="BC443" s="102"/>
      <c r="BD443" s="102"/>
      <c r="BE443" s="102"/>
      <c r="BF443" s="102"/>
      <c r="BG443" s="102"/>
      <c r="BH443" s="102"/>
      <c r="BI443" s="102"/>
      <c r="BJ443" s="102"/>
      <c r="BK443" s="102"/>
      <c r="BL443" s="102"/>
      <c r="BM443" s="102"/>
      <c r="BN443" s="102"/>
      <c r="BO443" s="102"/>
      <c r="BP443" s="102"/>
      <c r="BQ443" s="102"/>
      <c r="BR443" s="102"/>
      <c r="BS443" s="102"/>
      <c r="BT443" s="102"/>
      <c r="BU443" s="102"/>
    </row>
    <row r="444" spans="15:73"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  <c r="AA444" s="102"/>
      <c r="AB444" s="102"/>
      <c r="AC444" s="102"/>
      <c r="AD444" s="102"/>
      <c r="AE444" s="102"/>
      <c r="AF444" s="102"/>
      <c r="AG444" s="102"/>
      <c r="AH444" s="102"/>
      <c r="AI444" s="102"/>
      <c r="AJ444" s="102"/>
      <c r="AK444" s="102"/>
      <c r="AL444" s="102"/>
      <c r="AM444" s="102"/>
      <c r="AN444" s="102"/>
      <c r="AO444" s="102"/>
      <c r="AP444" s="102"/>
      <c r="AQ444" s="102"/>
      <c r="AR444" s="102"/>
      <c r="AS444" s="102"/>
      <c r="AT444" s="102"/>
      <c r="AU444" s="102"/>
      <c r="AV444" s="102"/>
      <c r="AW444" s="102"/>
      <c r="AX444" s="102"/>
      <c r="AY444" s="102"/>
      <c r="AZ444" s="102"/>
      <c r="BA444" s="102"/>
      <c r="BB444" s="102"/>
      <c r="BC444" s="102"/>
      <c r="BD444" s="102"/>
      <c r="BE444" s="102"/>
      <c r="BF444" s="102"/>
      <c r="BG444" s="102"/>
      <c r="BH444" s="102"/>
      <c r="BI444" s="102"/>
      <c r="BJ444" s="102"/>
      <c r="BK444" s="102"/>
      <c r="BL444" s="102"/>
      <c r="BM444" s="102"/>
      <c r="BN444" s="102"/>
      <c r="BO444" s="102"/>
      <c r="BP444" s="102"/>
      <c r="BQ444" s="102"/>
      <c r="BR444" s="102"/>
      <c r="BS444" s="102"/>
      <c r="BT444" s="102"/>
      <c r="BU444" s="102"/>
    </row>
    <row r="445" spans="15:73"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  <c r="AA445" s="102"/>
      <c r="AB445" s="102"/>
      <c r="AC445" s="102"/>
      <c r="AD445" s="102"/>
      <c r="AE445" s="102"/>
      <c r="AF445" s="102"/>
      <c r="AG445" s="102"/>
      <c r="AH445" s="102"/>
      <c r="AI445" s="102"/>
      <c r="AJ445" s="102"/>
      <c r="AK445" s="102"/>
      <c r="AL445" s="102"/>
      <c r="AM445" s="102"/>
      <c r="AN445" s="102"/>
      <c r="AO445" s="102"/>
      <c r="AP445" s="102"/>
      <c r="AQ445" s="102"/>
      <c r="AR445" s="102"/>
      <c r="AS445" s="102"/>
      <c r="AT445" s="102"/>
      <c r="AU445" s="102"/>
      <c r="AV445" s="102"/>
      <c r="AW445" s="102"/>
      <c r="AX445" s="102"/>
      <c r="AY445" s="102"/>
      <c r="AZ445" s="102"/>
      <c r="BA445" s="102"/>
      <c r="BB445" s="102"/>
      <c r="BC445" s="102"/>
      <c r="BD445" s="102"/>
      <c r="BE445" s="102"/>
      <c r="BF445" s="102"/>
      <c r="BG445" s="102"/>
      <c r="BH445" s="102"/>
      <c r="BI445" s="102"/>
      <c r="BJ445" s="102"/>
      <c r="BK445" s="102"/>
      <c r="BL445" s="102"/>
      <c r="BM445" s="102"/>
      <c r="BN445" s="102"/>
      <c r="BO445" s="102"/>
      <c r="BP445" s="102"/>
      <c r="BQ445" s="102"/>
      <c r="BR445" s="102"/>
      <c r="BS445" s="102"/>
      <c r="BT445" s="102"/>
      <c r="BU445" s="102"/>
    </row>
    <row r="446" spans="15:73"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  <c r="AA446" s="102"/>
      <c r="AB446" s="102"/>
      <c r="AC446" s="102"/>
      <c r="AD446" s="102"/>
      <c r="AE446" s="102"/>
      <c r="AF446" s="102"/>
      <c r="AG446" s="102"/>
      <c r="AH446" s="102"/>
      <c r="AI446" s="102"/>
      <c r="AJ446" s="102"/>
      <c r="AK446" s="102"/>
      <c r="AL446" s="102"/>
      <c r="AM446" s="102"/>
      <c r="AN446" s="102"/>
      <c r="AO446" s="102"/>
      <c r="AP446" s="102"/>
      <c r="AQ446" s="102"/>
      <c r="AR446" s="102"/>
      <c r="AS446" s="102"/>
      <c r="AT446" s="102"/>
      <c r="AU446" s="102"/>
      <c r="AV446" s="102"/>
      <c r="AW446" s="102"/>
      <c r="AX446" s="102"/>
      <c r="AY446" s="102"/>
      <c r="AZ446" s="102"/>
      <c r="BA446" s="102"/>
      <c r="BB446" s="102"/>
      <c r="BC446" s="102"/>
      <c r="BD446" s="102"/>
      <c r="BE446" s="102"/>
      <c r="BF446" s="102"/>
      <c r="BG446" s="102"/>
      <c r="BH446" s="102"/>
      <c r="BI446" s="102"/>
      <c r="BJ446" s="102"/>
      <c r="BK446" s="102"/>
      <c r="BL446" s="102"/>
      <c r="BM446" s="102"/>
      <c r="BN446" s="102"/>
      <c r="BO446" s="102"/>
      <c r="BP446" s="102"/>
      <c r="BQ446" s="102"/>
      <c r="BR446" s="102"/>
      <c r="BS446" s="102"/>
      <c r="BT446" s="102"/>
      <c r="BU446" s="102"/>
    </row>
    <row r="447" spans="15:73"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  <c r="AA447" s="102"/>
      <c r="AB447" s="102"/>
      <c r="AC447" s="102"/>
      <c r="AD447" s="102"/>
      <c r="AE447" s="102"/>
      <c r="AF447" s="102"/>
      <c r="AG447" s="102"/>
      <c r="AH447" s="102"/>
      <c r="AI447" s="102"/>
      <c r="AJ447" s="102"/>
      <c r="AK447" s="102"/>
      <c r="AL447" s="102"/>
      <c r="AM447" s="102"/>
      <c r="AN447" s="102"/>
      <c r="AO447" s="102"/>
      <c r="AP447" s="102"/>
      <c r="AQ447" s="102"/>
      <c r="AR447" s="102"/>
      <c r="AS447" s="102"/>
      <c r="AT447" s="102"/>
      <c r="AU447" s="102"/>
      <c r="AV447" s="102"/>
      <c r="AW447" s="102"/>
      <c r="AX447" s="102"/>
      <c r="AY447" s="102"/>
      <c r="AZ447" s="102"/>
      <c r="BA447" s="102"/>
      <c r="BB447" s="102"/>
      <c r="BC447" s="102"/>
      <c r="BD447" s="102"/>
      <c r="BE447" s="102"/>
      <c r="BF447" s="102"/>
      <c r="BG447" s="102"/>
      <c r="BH447" s="102"/>
      <c r="BI447" s="102"/>
      <c r="BJ447" s="102"/>
      <c r="BK447" s="102"/>
      <c r="BL447" s="102"/>
      <c r="BM447" s="102"/>
      <c r="BN447" s="102"/>
      <c r="BO447" s="102"/>
      <c r="BP447" s="102"/>
      <c r="BQ447" s="102"/>
      <c r="BR447" s="102"/>
      <c r="BS447" s="102"/>
      <c r="BT447" s="102"/>
      <c r="BU447" s="102"/>
    </row>
    <row r="448" spans="15:73"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  <c r="AA448" s="102"/>
      <c r="AB448" s="102"/>
      <c r="AC448" s="102"/>
      <c r="AD448" s="102"/>
      <c r="AE448" s="102"/>
      <c r="AF448" s="102"/>
      <c r="AG448" s="102"/>
      <c r="AH448" s="102"/>
      <c r="AI448" s="102"/>
      <c r="AJ448" s="102"/>
      <c r="AK448" s="102"/>
      <c r="AL448" s="102"/>
      <c r="AM448" s="102"/>
      <c r="AN448" s="102"/>
      <c r="AO448" s="102"/>
      <c r="AP448" s="102"/>
      <c r="AQ448" s="102"/>
      <c r="AR448" s="102"/>
      <c r="AS448" s="102"/>
      <c r="AT448" s="102"/>
      <c r="AU448" s="102"/>
      <c r="AV448" s="102"/>
      <c r="AW448" s="102"/>
      <c r="AX448" s="102"/>
      <c r="AY448" s="102"/>
      <c r="AZ448" s="102"/>
      <c r="BA448" s="102"/>
      <c r="BB448" s="102"/>
      <c r="BC448" s="102"/>
      <c r="BD448" s="102"/>
      <c r="BE448" s="102"/>
      <c r="BF448" s="102"/>
      <c r="BG448" s="102"/>
      <c r="BH448" s="102"/>
      <c r="BI448" s="102"/>
      <c r="BJ448" s="102"/>
      <c r="BK448" s="102"/>
      <c r="BL448" s="102"/>
      <c r="BM448" s="102"/>
      <c r="BN448" s="102"/>
      <c r="BO448" s="102"/>
      <c r="BP448" s="102"/>
      <c r="BQ448" s="102"/>
      <c r="BR448" s="102"/>
      <c r="BS448" s="102"/>
      <c r="BT448" s="102"/>
      <c r="BU448" s="102"/>
    </row>
    <row r="449" spans="15:73"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  <c r="AA449" s="102"/>
      <c r="AB449" s="102"/>
      <c r="AC449" s="102"/>
      <c r="AD449" s="102"/>
      <c r="AE449" s="102"/>
      <c r="AF449" s="102"/>
      <c r="AG449" s="102"/>
      <c r="AH449" s="102"/>
      <c r="AI449" s="102"/>
      <c r="AJ449" s="102"/>
      <c r="AK449" s="102"/>
      <c r="AL449" s="102"/>
      <c r="AM449" s="102"/>
      <c r="AN449" s="102"/>
      <c r="AO449" s="102"/>
      <c r="AP449" s="102"/>
      <c r="AQ449" s="102"/>
      <c r="AR449" s="102"/>
      <c r="AS449" s="102"/>
      <c r="AT449" s="102"/>
      <c r="AU449" s="102"/>
      <c r="AV449" s="102"/>
      <c r="AW449" s="102"/>
      <c r="AX449" s="102"/>
      <c r="AY449" s="102"/>
      <c r="AZ449" s="102"/>
      <c r="BA449" s="102"/>
      <c r="BB449" s="102"/>
      <c r="BC449" s="102"/>
      <c r="BD449" s="102"/>
      <c r="BE449" s="102"/>
      <c r="BF449" s="102"/>
      <c r="BG449" s="102"/>
      <c r="BH449" s="102"/>
      <c r="BI449" s="102"/>
      <c r="BJ449" s="102"/>
      <c r="BK449" s="102"/>
      <c r="BL449" s="102"/>
      <c r="BM449" s="102"/>
      <c r="BN449" s="102"/>
      <c r="BO449" s="102"/>
      <c r="BP449" s="102"/>
      <c r="BQ449" s="102"/>
      <c r="BR449" s="102"/>
      <c r="BS449" s="102"/>
      <c r="BT449" s="102"/>
      <c r="BU449" s="102"/>
    </row>
    <row r="450" spans="15:73"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  <c r="AA450" s="102"/>
      <c r="AB450" s="102"/>
      <c r="AC450" s="102"/>
      <c r="AD450" s="102"/>
      <c r="AE450" s="102"/>
      <c r="AF450" s="102"/>
      <c r="AG450" s="102"/>
      <c r="AH450" s="102"/>
      <c r="AI450" s="102"/>
      <c r="AJ450" s="102"/>
      <c r="AK450" s="102"/>
      <c r="AL450" s="102"/>
      <c r="AM450" s="102"/>
      <c r="AN450" s="102"/>
      <c r="AO450" s="102"/>
      <c r="AP450" s="102"/>
      <c r="AQ450" s="102"/>
      <c r="AR450" s="102"/>
      <c r="AS450" s="102"/>
      <c r="AT450" s="102"/>
      <c r="AU450" s="102"/>
      <c r="AV450" s="102"/>
      <c r="AW450" s="102"/>
      <c r="AX450" s="102"/>
      <c r="AY450" s="102"/>
      <c r="AZ450" s="102"/>
      <c r="BA450" s="102"/>
      <c r="BB450" s="102"/>
      <c r="BC450" s="102"/>
      <c r="BD450" s="102"/>
      <c r="BE450" s="102"/>
      <c r="BF450" s="102"/>
      <c r="BG450" s="102"/>
      <c r="BH450" s="102"/>
      <c r="BI450" s="102"/>
      <c r="BJ450" s="102"/>
      <c r="BK450" s="102"/>
      <c r="BL450" s="102"/>
      <c r="BM450" s="102"/>
      <c r="BN450" s="102"/>
      <c r="BO450" s="102"/>
      <c r="BP450" s="102"/>
      <c r="BQ450" s="102"/>
      <c r="BR450" s="102"/>
      <c r="BS450" s="102"/>
      <c r="BT450" s="102"/>
      <c r="BU450" s="102"/>
    </row>
    <row r="451" spans="15:73"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  <c r="AA451" s="102"/>
      <c r="AB451" s="102"/>
      <c r="AC451" s="102"/>
      <c r="AD451" s="102"/>
      <c r="AE451" s="102"/>
      <c r="AF451" s="102"/>
      <c r="AG451" s="102"/>
      <c r="AH451" s="102"/>
      <c r="AI451" s="102"/>
      <c r="AJ451" s="102"/>
      <c r="AK451" s="102"/>
      <c r="AL451" s="102"/>
      <c r="AM451" s="102"/>
      <c r="AN451" s="102"/>
      <c r="AO451" s="102"/>
      <c r="AP451" s="102"/>
      <c r="AQ451" s="102"/>
      <c r="AR451" s="102"/>
      <c r="AS451" s="102"/>
      <c r="AT451" s="102"/>
      <c r="AU451" s="102"/>
      <c r="AV451" s="102"/>
      <c r="AW451" s="102"/>
      <c r="AX451" s="102"/>
      <c r="AY451" s="102"/>
      <c r="AZ451" s="102"/>
      <c r="BA451" s="102"/>
      <c r="BB451" s="102"/>
      <c r="BC451" s="102"/>
      <c r="BD451" s="102"/>
      <c r="BE451" s="102"/>
      <c r="BF451" s="102"/>
      <c r="BG451" s="102"/>
      <c r="BH451" s="102"/>
      <c r="BI451" s="102"/>
      <c r="BJ451" s="102"/>
      <c r="BK451" s="102"/>
      <c r="BL451" s="102"/>
      <c r="BM451" s="102"/>
      <c r="BN451" s="102"/>
      <c r="BO451" s="102"/>
      <c r="BP451" s="102"/>
      <c r="BQ451" s="102"/>
      <c r="BR451" s="102"/>
      <c r="BS451" s="102"/>
      <c r="BT451" s="102"/>
      <c r="BU451" s="102"/>
    </row>
    <row r="452" spans="15:73"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  <c r="AA452" s="102"/>
      <c r="AB452" s="102"/>
      <c r="AC452" s="102"/>
      <c r="AD452" s="102"/>
      <c r="AE452" s="102"/>
      <c r="AF452" s="102"/>
      <c r="AG452" s="102"/>
      <c r="AH452" s="102"/>
      <c r="AI452" s="102"/>
      <c r="AJ452" s="102"/>
      <c r="AK452" s="102"/>
      <c r="AL452" s="102"/>
      <c r="AM452" s="102"/>
      <c r="AN452" s="102"/>
      <c r="AO452" s="102"/>
      <c r="AP452" s="102"/>
      <c r="AQ452" s="102"/>
      <c r="AR452" s="102"/>
      <c r="AS452" s="102"/>
      <c r="AT452" s="102"/>
      <c r="AU452" s="102"/>
      <c r="AV452" s="102"/>
      <c r="AW452" s="102"/>
      <c r="AX452" s="102"/>
      <c r="AY452" s="102"/>
      <c r="AZ452" s="102"/>
      <c r="BA452" s="102"/>
      <c r="BB452" s="102"/>
      <c r="BC452" s="102"/>
      <c r="BD452" s="102"/>
      <c r="BE452" s="102"/>
      <c r="BF452" s="102"/>
      <c r="BG452" s="102"/>
      <c r="BH452" s="102"/>
      <c r="BI452" s="102"/>
      <c r="BJ452" s="102"/>
      <c r="BK452" s="102"/>
      <c r="BL452" s="102"/>
      <c r="BM452" s="102"/>
      <c r="BN452" s="102"/>
      <c r="BO452" s="102"/>
      <c r="BP452" s="102"/>
      <c r="BQ452" s="102"/>
      <c r="BR452" s="102"/>
      <c r="BS452" s="102"/>
      <c r="BT452" s="102"/>
      <c r="BU452" s="102"/>
    </row>
    <row r="453" spans="15:73"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  <c r="AA453" s="102"/>
      <c r="AB453" s="102"/>
      <c r="AC453" s="102"/>
      <c r="AD453" s="102"/>
      <c r="AE453" s="102"/>
      <c r="AF453" s="102"/>
      <c r="AG453" s="102"/>
      <c r="AH453" s="102"/>
      <c r="AI453" s="102"/>
      <c r="AJ453" s="102"/>
      <c r="AK453" s="102"/>
      <c r="AL453" s="102"/>
      <c r="AM453" s="102"/>
      <c r="AN453" s="102"/>
      <c r="AO453" s="102"/>
      <c r="AP453" s="102"/>
      <c r="AQ453" s="102"/>
      <c r="AR453" s="102"/>
      <c r="AS453" s="102"/>
      <c r="AT453" s="102"/>
      <c r="AU453" s="102"/>
      <c r="AV453" s="102"/>
      <c r="AW453" s="102"/>
      <c r="AX453" s="102"/>
      <c r="AY453" s="102"/>
      <c r="AZ453" s="102"/>
      <c r="BA453" s="102"/>
      <c r="BB453" s="102"/>
      <c r="BC453" s="102"/>
      <c r="BD453" s="102"/>
      <c r="BE453" s="102"/>
      <c r="BF453" s="102"/>
      <c r="BG453" s="102"/>
      <c r="BH453" s="102"/>
      <c r="BI453" s="102"/>
      <c r="BJ453" s="102"/>
      <c r="BK453" s="102"/>
      <c r="BL453" s="102"/>
      <c r="BM453" s="102"/>
      <c r="BN453" s="102"/>
      <c r="BO453" s="102"/>
      <c r="BP453" s="102"/>
      <c r="BQ453" s="102"/>
      <c r="BR453" s="102"/>
      <c r="BS453" s="102"/>
      <c r="BT453" s="102"/>
      <c r="BU453" s="102"/>
    </row>
    <row r="454" spans="15:73"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  <c r="AA454" s="102"/>
      <c r="AB454" s="102"/>
      <c r="AC454" s="102"/>
      <c r="AD454" s="102"/>
      <c r="AE454" s="102"/>
      <c r="AF454" s="102"/>
      <c r="AG454" s="102"/>
      <c r="AH454" s="102"/>
      <c r="AI454" s="102"/>
      <c r="AJ454" s="102"/>
      <c r="AK454" s="102"/>
      <c r="AL454" s="102"/>
      <c r="AM454" s="102"/>
      <c r="AN454" s="102"/>
      <c r="AO454" s="102"/>
      <c r="AP454" s="102"/>
      <c r="AQ454" s="102"/>
      <c r="AR454" s="102"/>
      <c r="AS454" s="102"/>
      <c r="AT454" s="102"/>
      <c r="AU454" s="102"/>
      <c r="AV454" s="102"/>
      <c r="AW454" s="102"/>
      <c r="AX454" s="102"/>
      <c r="AY454" s="102"/>
      <c r="AZ454" s="102"/>
      <c r="BA454" s="102"/>
      <c r="BB454" s="102"/>
      <c r="BC454" s="102"/>
      <c r="BD454" s="102"/>
      <c r="BE454" s="102"/>
      <c r="BF454" s="102"/>
      <c r="BG454" s="102"/>
      <c r="BH454" s="102"/>
      <c r="BI454" s="102"/>
      <c r="BJ454" s="102"/>
      <c r="BK454" s="102"/>
      <c r="BL454" s="102"/>
      <c r="BM454" s="102"/>
      <c r="BN454" s="102"/>
      <c r="BO454" s="102"/>
      <c r="BP454" s="102"/>
      <c r="BQ454" s="102"/>
      <c r="BR454" s="102"/>
      <c r="BS454" s="102"/>
      <c r="BT454" s="102"/>
      <c r="BU454" s="102"/>
    </row>
    <row r="455" spans="15:73"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  <c r="AA455" s="102"/>
      <c r="AB455" s="102"/>
      <c r="AC455" s="102"/>
      <c r="AD455" s="102"/>
      <c r="AE455" s="102"/>
      <c r="AF455" s="102"/>
      <c r="AG455" s="102"/>
      <c r="AH455" s="102"/>
      <c r="AI455" s="102"/>
      <c r="AJ455" s="102"/>
      <c r="AK455" s="102"/>
      <c r="AL455" s="102"/>
      <c r="AM455" s="102"/>
      <c r="AN455" s="102"/>
      <c r="AO455" s="102"/>
      <c r="AP455" s="102"/>
      <c r="AQ455" s="102"/>
      <c r="AR455" s="102"/>
      <c r="AS455" s="102"/>
      <c r="AT455" s="102"/>
      <c r="AU455" s="102"/>
      <c r="AV455" s="102"/>
      <c r="AW455" s="102"/>
      <c r="AX455" s="102"/>
      <c r="AY455" s="102"/>
      <c r="AZ455" s="102"/>
      <c r="BA455" s="102"/>
      <c r="BB455" s="102"/>
      <c r="BC455" s="102"/>
      <c r="BD455" s="102"/>
      <c r="BE455" s="102"/>
      <c r="BF455" s="102"/>
      <c r="BG455" s="102"/>
      <c r="BH455" s="102"/>
      <c r="BI455" s="102"/>
      <c r="BJ455" s="102"/>
      <c r="BK455" s="102"/>
      <c r="BL455" s="102"/>
      <c r="BM455" s="102"/>
      <c r="BN455" s="102"/>
      <c r="BO455" s="102"/>
      <c r="BP455" s="102"/>
      <c r="BQ455" s="102"/>
      <c r="BR455" s="102"/>
      <c r="BS455" s="102"/>
      <c r="BT455" s="102"/>
      <c r="BU455" s="102"/>
    </row>
    <row r="456" spans="15:73"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  <c r="AA456" s="102"/>
      <c r="AB456" s="102"/>
      <c r="AC456" s="102"/>
      <c r="AD456" s="102"/>
      <c r="AE456" s="102"/>
      <c r="AF456" s="102"/>
      <c r="AG456" s="102"/>
      <c r="AH456" s="102"/>
      <c r="AI456" s="102"/>
      <c r="AJ456" s="102"/>
      <c r="AK456" s="102"/>
      <c r="AL456" s="102"/>
      <c r="AM456" s="102"/>
      <c r="AN456" s="102"/>
      <c r="AO456" s="102"/>
      <c r="AP456" s="102"/>
      <c r="AQ456" s="102"/>
      <c r="AR456" s="102"/>
      <c r="AS456" s="102"/>
      <c r="AT456" s="102"/>
      <c r="AU456" s="102"/>
      <c r="AV456" s="102"/>
      <c r="AW456" s="102"/>
      <c r="AX456" s="102"/>
      <c r="AY456" s="102"/>
      <c r="AZ456" s="102"/>
      <c r="BA456" s="102"/>
      <c r="BB456" s="102"/>
      <c r="BC456" s="102"/>
      <c r="BD456" s="102"/>
      <c r="BE456" s="102"/>
      <c r="BF456" s="102"/>
      <c r="BG456" s="102"/>
      <c r="BH456" s="102"/>
      <c r="BI456" s="102"/>
      <c r="BJ456" s="102"/>
      <c r="BK456" s="102"/>
      <c r="BL456" s="102"/>
      <c r="BM456" s="102"/>
      <c r="BN456" s="102"/>
      <c r="BO456" s="102"/>
      <c r="BP456" s="102"/>
      <c r="BQ456" s="102"/>
      <c r="BR456" s="102"/>
      <c r="BS456" s="102"/>
      <c r="BT456" s="102"/>
      <c r="BU456" s="102"/>
    </row>
    <row r="457" spans="15:73"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  <c r="AA457" s="102"/>
      <c r="AB457" s="102"/>
      <c r="AC457" s="102"/>
      <c r="AD457" s="102"/>
      <c r="AE457" s="102"/>
      <c r="AF457" s="102"/>
      <c r="AG457" s="102"/>
      <c r="AH457" s="102"/>
      <c r="AI457" s="102"/>
      <c r="AJ457" s="102"/>
      <c r="AK457" s="102"/>
      <c r="AL457" s="102"/>
      <c r="AM457" s="102"/>
      <c r="AN457" s="102"/>
      <c r="AO457" s="102"/>
      <c r="AP457" s="102"/>
      <c r="AQ457" s="102"/>
      <c r="AR457" s="102"/>
      <c r="AS457" s="102"/>
      <c r="AT457" s="102"/>
      <c r="AU457" s="102"/>
      <c r="AV457" s="102"/>
      <c r="AW457" s="102"/>
      <c r="AX457" s="102"/>
      <c r="AY457" s="102"/>
      <c r="AZ457" s="102"/>
      <c r="BA457" s="102"/>
      <c r="BB457" s="102"/>
      <c r="BC457" s="102"/>
      <c r="BD457" s="102"/>
      <c r="BE457" s="102"/>
      <c r="BF457" s="102"/>
      <c r="BG457" s="102"/>
      <c r="BH457" s="102"/>
      <c r="BI457" s="102"/>
      <c r="BJ457" s="102"/>
      <c r="BK457" s="102"/>
      <c r="BL457" s="102"/>
      <c r="BM457" s="102"/>
      <c r="BN457" s="102"/>
      <c r="BO457" s="102"/>
      <c r="BP457" s="102"/>
      <c r="BQ457" s="102"/>
      <c r="BR457" s="102"/>
      <c r="BS457" s="102"/>
      <c r="BT457" s="102"/>
      <c r="BU457" s="102"/>
    </row>
    <row r="458" spans="15:73"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  <c r="AA458" s="102"/>
      <c r="AB458" s="102"/>
      <c r="AC458" s="102"/>
      <c r="AD458" s="102"/>
      <c r="AE458" s="102"/>
      <c r="AF458" s="102"/>
      <c r="AG458" s="102"/>
      <c r="AH458" s="102"/>
      <c r="AI458" s="102"/>
      <c r="AJ458" s="102"/>
      <c r="AK458" s="102"/>
      <c r="AL458" s="102"/>
      <c r="AM458" s="102"/>
      <c r="AN458" s="102"/>
      <c r="AO458" s="102"/>
      <c r="AP458" s="102"/>
      <c r="AQ458" s="102"/>
      <c r="AR458" s="102"/>
      <c r="AS458" s="102"/>
      <c r="AT458" s="102"/>
      <c r="AU458" s="102"/>
      <c r="AV458" s="102"/>
      <c r="AW458" s="102"/>
      <c r="AX458" s="102"/>
      <c r="AY458" s="102"/>
      <c r="AZ458" s="102"/>
      <c r="BA458" s="102"/>
      <c r="BB458" s="102"/>
      <c r="BC458" s="102"/>
      <c r="BD458" s="102"/>
      <c r="BE458" s="102"/>
      <c r="BF458" s="102"/>
      <c r="BG458" s="102"/>
      <c r="BH458" s="102"/>
      <c r="BI458" s="102"/>
      <c r="BJ458" s="102"/>
      <c r="BK458" s="102"/>
      <c r="BL458" s="102"/>
      <c r="BM458" s="102"/>
      <c r="BN458" s="102"/>
      <c r="BO458" s="102"/>
      <c r="BP458" s="102"/>
      <c r="BQ458" s="102"/>
      <c r="BR458" s="102"/>
      <c r="BS458" s="102"/>
      <c r="BT458" s="102"/>
      <c r="BU458" s="102"/>
    </row>
    <row r="459" spans="15:73"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  <c r="AA459" s="102"/>
      <c r="AB459" s="102"/>
      <c r="AC459" s="102"/>
      <c r="AD459" s="102"/>
      <c r="AE459" s="102"/>
      <c r="AF459" s="102"/>
      <c r="AG459" s="102"/>
      <c r="AH459" s="102"/>
      <c r="AI459" s="102"/>
      <c r="AJ459" s="102"/>
      <c r="AK459" s="102"/>
      <c r="AL459" s="102"/>
      <c r="AM459" s="102"/>
      <c r="AN459" s="102"/>
      <c r="AO459" s="102"/>
      <c r="AP459" s="102"/>
      <c r="AQ459" s="102"/>
      <c r="AR459" s="102"/>
      <c r="AS459" s="102"/>
      <c r="AT459" s="102"/>
      <c r="AU459" s="102"/>
      <c r="AV459" s="102"/>
      <c r="AW459" s="102"/>
      <c r="AX459" s="102"/>
      <c r="AY459" s="102"/>
      <c r="AZ459" s="102"/>
      <c r="BA459" s="102"/>
      <c r="BB459" s="102"/>
      <c r="BC459" s="102"/>
      <c r="BD459" s="102"/>
      <c r="BE459" s="102"/>
      <c r="BF459" s="102"/>
      <c r="BG459" s="102"/>
      <c r="BH459" s="102"/>
      <c r="BI459" s="102"/>
      <c r="BJ459" s="102"/>
      <c r="BK459" s="102"/>
      <c r="BL459" s="102"/>
      <c r="BM459" s="102"/>
      <c r="BN459" s="102"/>
      <c r="BO459" s="102"/>
      <c r="BP459" s="102"/>
      <c r="BQ459" s="102"/>
      <c r="BR459" s="102"/>
      <c r="BS459" s="102"/>
      <c r="BT459" s="102"/>
      <c r="BU459" s="102"/>
    </row>
    <row r="460" spans="15:73"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  <c r="AA460" s="102"/>
      <c r="AB460" s="102"/>
      <c r="AC460" s="102"/>
      <c r="AD460" s="102"/>
      <c r="AE460" s="102"/>
      <c r="AF460" s="102"/>
      <c r="AG460" s="102"/>
      <c r="AH460" s="102"/>
      <c r="AI460" s="102"/>
      <c r="AJ460" s="102"/>
      <c r="AK460" s="102"/>
      <c r="AL460" s="102"/>
      <c r="AM460" s="102"/>
      <c r="AN460" s="102"/>
      <c r="AO460" s="102"/>
      <c r="AP460" s="102"/>
      <c r="AQ460" s="102"/>
      <c r="AR460" s="102"/>
      <c r="AS460" s="102"/>
      <c r="AT460" s="102"/>
      <c r="AU460" s="102"/>
      <c r="AV460" s="102"/>
      <c r="AW460" s="102"/>
      <c r="AX460" s="102"/>
      <c r="AY460" s="102"/>
      <c r="AZ460" s="102"/>
      <c r="BA460" s="102"/>
      <c r="BB460" s="102"/>
      <c r="BC460" s="102"/>
      <c r="BD460" s="102"/>
      <c r="BE460" s="102"/>
      <c r="BF460" s="102"/>
      <c r="BG460" s="102"/>
      <c r="BH460" s="102"/>
      <c r="BI460" s="102"/>
      <c r="BJ460" s="102"/>
      <c r="BK460" s="102"/>
      <c r="BL460" s="102"/>
      <c r="BM460" s="102"/>
      <c r="BN460" s="102"/>
      <c r="BO460" s="102"/>
      <c r="BP460" s="102"/>
      <c r="BQ460" s="102"/>
      <c r="BR460" s="102"/>
      <c r="BS460" s="102"/>
      <c r="BT460" s="102"/>
      <c r="BU460" s="102"/>
    </row>
    <row r="461" spans="15:73"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  <c r="AA461" s="102"/>
      <c r="AB461" s="102"/>
      <c r="AC461" s="102"/>
      <c r="AD461" s="102"/>
      <c r="AE461" s="102"/>
      <c r="AF461" s="102"/>
      <c r="AG461" s="102"/>
      <c r="AH461" s="102"/>
      <c r="AI461" s="102"/>
      <c r="AJ461" s="102"/>
      <c r="AK461" s="102"/>
      <c r="AL461" s="102"/>
      <c r="AM461" s="102"/>
      <c r="AN461" s="102"/>
      <c r="AO461" s="102"/>
      <c r="AP461" s="102"/>
      <c r="AQ461" s="102"/>
      <c r="AR461" s="102"/>
      <c r="AS461" s="102"/>
      <c r="AT461" s="102"/>
      <c r="AU461" s="102"/>
      <c r="AV461" s="102"/>
      <c r="AW461" s="102"/>
      <c r="AX461" s="102"/>
      <c r="AY461" s="102"/>
      <c r="AZ461" s="102"/>
      <c r="BA461" s="102"/>
      <c r="BB461" s="102"/>
      <c r="BC461" s="102"/>
      <c r="BD461" s="102"/>
      <c r="BE461" s="102"/>
      <c r="BF461" s="102"/>
      <c r="BG461" s="102"/>
      <c r="BH461" s="102"/>
      <c r="BI461" s="102"/>
      <c r="BJ461" s="102"/>
      <c r="BK461" s="102"/>
      <c r="BL461" s="102"/>
      <c r="BM461" s="102"/>
      <c r="BN461" s="102"/>
      <c r="BO461" s="102"/>
      <c r="BP461" s="102"/>
      <c r="BQ461" s="102"/>
      <c r="BR461" s="102"/>
      <c r="BS461" s="102"/>
      <c r="BT461" s="102"/>
      <c r="BU461" s="102"/>
    </row>
    <row r="462" spans="15:73"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02"/>
      <c r="AM462" s="102"/>
      <c r="AN462" s="102"/>
      <c r="AO462" s="102"/>
      <c r="AP462" s="102"/>
      <c r="AQ462" s="102"/>
      <c r="AR462" s="102"/>
      <c r="AS462" s="102"/>
      <c r="AT462" s="102"/>
      <c r="AU462" s="102"/>
      <c r="AV462" s="102"/>
      <c r="AW462" s="102"/>
      <c r="AX462" s="102"/>
      <c r="AY462" s="102"/>
      <c r="AZ462" s="102"/>
      <c r="BA462" s="102"/>
      <c r="BB462" s="102"/>
      <c r="BC462" s="102"/>
      <c r="BD462" s="102"/>
      <c r="BE462" s="102"/>
      <c r="BF462" s="102"/>
      <c r="BG462" s="102"/>
      <c r="BH462" s="102"/>
      <c r="BI462" s="102"/>
      <c r="BJ462" s="102"/>
      <c r="BK462" s="102"/>
      <c r="BL462" s="102"/>
      <c r="BM462" s="102"/>
      <c r="BN462" s="102"/>
      <c r="BO462" s="102"/>
      <c r="BP462" s="102"/>
      <c r="BQ462" s="102"/>
      <c r="BR462" s="102"/>
      <c r="BS462" s="102"/>
      <c r="BT462" s="102"/>
      <c r="BU462" s="102"/>
    </row>
    <row r="463" spans="15:73"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  <c r="AA463" s="102"/>
      <c r="AB463" s="102"/>
      <c r="AC463" s="102"/>
      <c r="AD463" s="102"/>
      <c r="AE463" s="102"/>
      <c r="AF463" s="102"/>
      <c r="AG463" s="102"/>
      <c r="AH463" s="102"/>
      <c r="AI463" s="102"/>
      <c r="AJ463" s="102"/>
      <c r="AK463" s="102"/>
      <c r="AL463" s="102"/>
      <c r="AM463" s="102"/>
      <c r="AN463" s="102"/>
      <c r="AO463" s="102"/>
      <c r="AP463" s="102"/>
      <c r="AQ463" s="102"/>
      <c r="AR463" s="102"/>
      <c r="AS463" s="102"/>
      <c r="AT463" s="102"/>
      <c r="AU463" s="102"/>
      <c r="AV463" s="102"/>
      <c r="AW463" s="102"/>
      <c r="AX463" s="102"/>
      <c r="AY463" s="102"/>
      <c r="AZ463" s="102"/>
      <c r="BA463" s="102"/>
      <c r="BB463" s="102"/>
      <c r="BC463" s="102"/>
      <c r="BD463" s="102"/>
      <c r="BE463" s="102"/>
      <c r="BF463" s="102"/>
      <c r="BG463" s="102"/>
      <c r="BH463" s="102"/>
      <c r="BI463" s="102"/>
      <c r="BJ463" s="102"/>
      <c r="BK463" s="102"/>
      <c r="BL463" s="102"/>
      <c r="BM463" s="102"/>
      <c r="BN463" s="102"/>
      <c r="BO463" s="102"/>
      <c r="BP463" s="102"/>
      <c r="BQ463" s="102"/>
      <c r="BR463" s="102"/>
      <c r="BS463" s="102"/>
      <c r="BT463" s="102"/>
      <c r="BU463" s="102"/>
    </row>
    <row r="464" spans="15:73"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  <c r="AA464" s="102"/>
      <c r="AB464" s="102"/>
      <c r="AC464" s="102"/>
      <c r="AD464" s="102"/>
      <c r="AE464" s="102"/>
      <c r="AF464" s="102"/>
      <c r="AG464" s="102"/>
      <c r="AH464" s="102"/>
      <c r="AI464" s="102"/>
      <c r="AJ464" s="102"/>
      <c r="AK464" s="102"/>
      <c r="AL464" s="102"/>
      <c r="AM464" s="102"/>
      <c r="AN464" s="102"/>
      <c r="AO464" s="102"/>
      <c r="AP464" s="102"/>
      <c r="AQ464" s="102"/>
      <c r="AR464" s="102"/>
      <c r="AS464" s="102"/>
      <c r="AT464" s="102"/>
      <c r="AU464" s="102"/>
      <c r="AV464" s="102"/>
      <c r="AW464" s="102"/>
      <c r="AX464" s="102"/>
      <c r="AY464" s="102"/>
      <c r="AZ464" s="102"/>
      <c r="BA464" s="102"/>
      <c r="BB464" s="102"/>
      <c r="BC464" s="102"/>
      <c r="BD464" s="102"/>
      <c r="BE464" s="102"/>
      <c r="BF464" s="102"/>
      <c r="BG464" s="102"/>
      <c r="BH464" s="102"/>
      <c r="BI464" s="102"/>
      <c r="BJ464" s="102"/>
      <c r="BK464" s="102"/>
      <c r="BL464" s="102"/>
      <c r="BM464" s="102"/>
      <c r="BN464" s="102"/>
      <c r="BO464" s="102"/>
      <c r="BP464" s="102"/>
      <c r="BQ464" s="102"/>
      <c r="BR464" s="102"/>
      <c r="BS464" s="102"/>
      <c r="BT464" s="102"/>
      <c r="BU464" s="102"/>
    </row>
    <row r="465" spans="15:73"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  <c r="AA465" s="102"/>
      <c r="AB465" s="102"/>
      <c r="AC465" s="102"/>
      <c r="AD465" s="102"/>
      <c r="AE465" s="102"/>
      <c r="AF465" s="102"/>
      <c r="AG465" s="102"/>
      <c r="AH465" s="102"/>
      <c r="AI465" s="102"/>
      <c r="AJ465" s="102"/>
      <c r="AK465" s="102"/>
      <c r="AL465" s="102"/>
      <c r="AM465" s="102"/>
      <c r="AN465" s="102"/>
      <c r="AO465" s="102"/>
      <c r="AP465" s="102"/>
      <c r="AQ465" s="102"/>
      <c r="AR465" s="102"/>
      <c r="AS465" s="102"/>
      <c r="AT465" s="102"/>
      <c r="AU465" s="102"/>
      <c r="AV465" s="102"/>
      <c r="AW465" s="102"/>
      <c r="AX465" s="102"/>
      <c r="AY465" s="102"/>
      <c r="AZ465" s="102"/>
      <c r="BA465" s="102"/>
      <c r="BB465" s="102"/>
      <c r="BC465" s="102"/>
      <c r="BD465" s="102"/>
      <c r="BE465" s="102"/>
      <c r="BF465" s="102"/>
      <c r="BG465" s="102"/>
      <c r="BH465" s="102"/>
      <c r="BI465" s="102"/>
      <c r="BJ465" s="102"/>
      <c r="BK465" s="102"/>
      <c r="BL465" s="102"/>
      <c r="BM465" s="102"/>
      <c r="BN465" s="102"/>
      <c r="BO465" s="102"/>
      <c r="BP465" s="102"/>
      <c r="BQ465" s="102"/>
      <c r="BR465" s="102"/>
      <c r="BS465" s="102"/>
      <c r="BT465" s="102"/>
      <c r="BU465" s="102"/>
    </row>
    <row r="466" spans="15:73"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  <c r="AA466" s="102"/>
      <c r="AB466" s="102"/>
      <c r="AC466" s="102"/>
      <c r="AD466" s="102"/>
      <c r="AE466" s="102"/>
      <c r="AF466" s="102"/>
      <c r="AG466" s="102"/>
      <c r="AH466" s="102"/>
      <c r="AI466" s="102"/>
      <c r="AJ466" s="102"/>
      <c r="AK466" s="102"/>
      <c r="AL466" s="102"/>
      <c r="AM466" s="102"/>
      <c r="AN466" s="102"/>
      <c r="AO466" s="102"/>
      <c r="AP466" s="102"/>
      <c r="AQ466" s="102"/>
      <c r="AR466" s="102"/>
      <c r="AS466" s="102"/>
      <c r="AT466" s="102"/>
      <c r="AU466" s="102"/>
      <c r="AV466" s="102"/>
      <c r="AW466" s="102"/>
      <c r="AX466" s="102"/>
      <c r="AY466" s="102"/>
      <c r="AZ466" s="102"/>
      <c r="BA466" s="102"/>
      <c r="BB466" s="102"/>
      <c r="BC466" s="102"/>
      <c r="BD466" s="102"/>
      <c r="BE466" s="102"/>
      <c r="BF466" s="102"/>
      <c r="BG466" s="102"/>
      <c r="BH466" s="102"/>
      <c r="BI466" s="102"/>
      <c r="BJ466" s="102"/>
      <c r="BK466" s="102"/>
      <c r="BL466" s="102"/>
      <c r="BM466" s="102"/>
      <c r="BN466" s="102"/>
      <c r="BO466" s="102"/>
      <c r="BP466" s="102"/>
      <c r="BQ466" s="102"/>
      <c r="BR466" s="102"/>
      <c r="BS466" s="102"/>
      <c r="BT466" s="102"/>
      <c r="BU466" s="102"/>
    </row>
    <row r="467" spans="15:73"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  <c r="AA467" s="102"/>
      <c r="AB467" s="102"/>
      <c r="AC467" s="102"/>
      <c r="AD467" s="102"/>
      <c r="AE467" s="102"/>
      <c r="AF467" s="102"/>
      <c r="AG467" s="102"/>
      <c r="AH467" s="102"/>
      <c r="AI467" s="102"/>
      <c r="AJ467" s="102"/>
      <c r="AK467" s="102"/>
      <c r="AL467" s="102"/>
      <c r="AM467" s="102"/>
      <c r="AN467" s="102"/>
      <c r="AO467" s="102"/>
      <c r="AP467" s="102"/>
      <c r="AQ467" s="102"/>
      <c r="AR467" s="102"/>
      <c r="AS467" s="102"/>
      <c r="AT467" s="102"/>
      <c r="AU467" s="102"/>
      <c r="AV467" s="102"/>
      <c r="AW467" s="102"/>
      <c r="AX467" s="102"/>
      <c r="AY467" s="102"/>
      <c r="AZ467" s="102"/>
      <c r="BA467" s="102"/>
      <c r="BB467" s="102"/>
      <c r="BC467" s="102"/>
      <c r="BD467" s="102"/>
      <c r="BE467" s="102"/>
      <c r="BF467" s="102"/>
      <c r="BG467" s="102"/>
      <c r="BH467" s="102"/>
      <c r="BI467" s="102"/>
      <c r="BJ467" s="102"/>
      <c r="BK467" s="102"/>
      <c r="BL467" s="102"/>
      <c r="BM467" s="102"/>
      <c r="BN467" s="102"/>
      <c r="BO467" s="102"/>
      <c r="BP467" s="102"/>
      <c r="BQ467" s="102"/>
      <c r="BR467" s="102"/>
      <c r="BS467" s="102"/>
      <c r="BT467" s="102"/>
      <c r="BU467" s="102"/>
    </row>
    <row r="468" spans="15:73"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  <c r="AA468" s="102"/>
      <c r="AB468" s="102"/>
      <c r="AC468" s="102"/>
      <c r="AD468" s="102"/>
      <c r="AE468" s="102"/>
      <c r="AF468" s="102"/>
      <c r="AG468" s="102"/>
      <c r="AH468" s="102"/>
      <c r="AI468" s="102"/>
      <c r="AJ468" s="102"/>
      <c r="AK468" s="102"/>
      <c r="AL468" s="102"/>
      <c r="AM468" s="102"/>
      <c r="AN468" s="102"/>
      <c r="AO468" s="102"/>
      <c r="AP468" s="102"/>
      <c r="AQ468" s="102"/>
      <c r="AR468" s="102"/>
      <c r="AS468" s="102"/>
      <c r="AT468" s="102"/>
      <c r="AU468" s="102"/>
      <c r="AV468" s="102"/>
      <c r="AW468" s="102"/>
      <c r="AX468" s="102"/>
      <c r="AY468" s="102"/>
      <c r="AZ468" s="102"/>
      <c r="BA468" s="102"/>
      <c r="BB468" s="102"/>
      <c r="BC468" s="102"/>
      <c r="BD468" s="102"/>
      <c r="BE468" s="102"/>
      <c r="BF468" s="102"/>
      <c r="BG468" s="102"/>
      <c r="BH468" s="102"/>
      <c r="BI468" s="102"/>
      <c r="BJ468" s="102"/>
      <c r="BK468" s="102"/>
      <c r="BL468" s="102"/>
      <c r="BM468" s="102"/>
      <c r="BN468" s="102"/>
      <c r="BO468" s="102"/>
      <c r="BP468" s="102"/>
      <c r="BQ468" s="102"/>
      <c r="BR468" s="102"/>
      <c r="BS468" s="102"/>
      <c r="BT468" s="102"/>
      <c r="BU468" s="102"/>
    </row>
    <row r="469" spans="15:73"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  <c r="AA469" s="102"/>
      <c r="AB469" s="102"/>
      <c r="AC469" s="102"/>
      <c r="AD469" s="102"/>
      <c r="AE469" s="102"/>
      <c r="AF469" s="102"/>
      <c r="AG469" s="102"/>
      <c r="AH469" s="102"/>
      <c r="AI469" s="102"/>
      <c r="AJ469" s="102"/>
      <c r="AK469" s="102"/>
      <c r="AL469" s="102"/>
      <c r="AM469" s="102"/>
      <c r="AN469" s="102"/>
      <c r="AO469" s="102"/>
      <c r="AP469" s="102"/>
      <c r="AQ469" s="102"/>
      <c r="AR469" s="102"/>
      <c r="AS469" s="102"/>
      <c r="AT469" s="102"/>
      <c r="AU469" s="102"/>
      <c r="AV469" s="102"/>
      <c r="AW469" s="102"/>
      <c r="AX469" s="102"/>
      <c r="AY469" s="102"/>
      <c r="AZ469" s="102"/>
      <c r="BA469" s="102"/>
      <c r="BB469" s="102"/>
      <c r="BC469" s="102"/>
      <c r="BD469" s="102"/>
      <c r="BE469" s="102"/>
      <c r="BF469" s="102"/>
      <c r="BG469" s="102"/>
      <c r="BH469" s="102"/>
      <c r="BI469" s="102"/>
      <c r="BJ469" s="102"/>
      <c r="BK469" s="102"/>
      <c r="BL469" s="102"/>
      <c r="BM469" s="102"/>
      <c r="BN469" s="102"/>
      <c r="BO469" s="102"/>
      <c r="BP469" s="102"/>
      <c r="BQ469" s="102"/>
      <c r="BR469" s="102"/>
      <c r="BS469" s="102"/>
      <c r="BT469" s="102"/>
      <c r="BU469" s="102"/>
    </row>
    <row r="470" spans="15:73"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  <c r="AA470" s="102"/>
      <c r="AB470" s="102"/>
      <c r="AC470" s="102"/>
      <c r="AD470" s="102"/>
      <c r="AE470" s="102"/>
      <c r="AF470" s="102"/>
      <c r="AG470" s="102"/>
      <c r="AH470" s="102"/>
      <c r="AI470" s="102"/>
      <c r="AJ470" s="102"/>
      <c r="AK470" s="102"/>
      <c r="AL470" s="102"/>
      <c r="AM470" s="102"/>
      <c r="AN470" s="102"/>
      <c r="AO470" s="102"/>
      <c r="AP470" s="102"/>
      <c r="AQ470" s="102"/>
      <c r="AR470" s="102"/>
      <c r="AS470" s="102"/>
      <c r="AT470" s="102"/>
      <c r="AU470" s="102"/>
      <c r="AV470" s="102"/>
      <c r="AW470" s="102"/>
      <c r="AX470" s="102"/>
      <c r="AY470" s="102"/>
      <c r="AZ470" s="102"/>
      <c r="BA470" s="102"/>
      <c r="BB470" s="102"/>
      <c r="BC470" s="102"/>
      <c r="BD470" s="102"/>
      <c r="BE470" s="102"/>
      <c r="BF470" s="102"/>
      <c r="BG470" s="102"/>
      <c r="BH470" s="102"/>
      <c r="BI470" s="102"/>
      <c r="BJ470" s="102"/>
      <c r="BK470" s="102"/>
      <c r="BL470" s="102"/>
      <c r="BM470" s="102"/>
      <c r="BN470" s="102"/>
      <c r="BO470" s="102"/>
      <c r="BP470" s="102"/>
      <c r="BQ470" s="102"/>
      <c r="BR470" s="102"/>
      <c r="BS470" s="102"/>
      <c r="BT470" s="102"/>
      <c r="BU470" s="102"/>
    </row>
    <row r="471" spans="15:73"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  <c r="AA471" s="102"/>
      <c r="AB471" s="102"/>
      <c r="AC471" s="102"/>
      <c r="AD471" s="102"/>
      <c r="AE471" s="102"/>
      <c r="AF471" s="102"/>
      <c r="AG471" s="102"/>
      <c r="AH471" s="102"/>
      <c r="AI471" s="102"/>
      <c r="AJ471" s="102"/>
      <c r="AK471" s="102"/>
      <c r="AL471" s="102"/>
      <c r="AM471" s="102"/>
      <c r="AN471" s="102"/>
      <c r="AO471" s="102"/>
      <c r="AP471" s="102"/>
      <c r="AQ471" s="102"/>
      <c r="AR471" s="102"/>
      <c r="AS471" s="102"/>
      <c r="AT471" s="102"/>
      <c r="AU471" s="102"/>
      <c r="AV471" s="102"/>
      <c r="AW471" s="102"/>
      <c r="AX471" s="102"/>
      <c r="AY471" s="102"/>
      <c r="AZ471" s="102"/>
      <c r="BA471" s="102"/>
      <c r="BB471" s="102"/>
      <c r="BC471" s="102"/>
      <c r="BD471" s="102"/>
      <c r="BE471" s="102"/>
      <c r="BF471" s="102"/>
      <c r="BG471" s="102"/>
      <c r="BH471" s="102"/>
      <c r="BI471" s="102"/>
      <c r="BJ471" s="102"/>
      <c r="BK471" s="102"/>
      <c r="BL471" s="102"/>
      <c r="BM471" s="102"/>
      <c r="BN471" s="102"/>
      <c r="BO471" s="102"/>
      <c r="BP471" s="102"/>
      <c r="BQ471" s="102"/>
      <c r="BR471" s="102"/>
      <c r="BS471" s="102"/>
      <c r="BT471" s="102"/>
      <c r="BU471" s="102"/>
    </row>
    <row r="472" spans="15:73"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  <c r="AA472" s="102"/>
      <c r="AB472" s="102"/>
      <c r="AC472" s="102"/>
      <c r="AD472" s="102"/>
      <c r="AE472" s="102"/>
      <c r="AF472" s="102"/>
      <c r="AG472" s="102"/>
      <c r="AH472" s="102"/>
      <c r="AI472" s="102"/>
      <c r="AJ472" s="102"/>
      <c r="AK472" s="102"/>
      <c r="AL472" s="102"/>
      <c r="AM472" s="102"/>
      <c r="AN472" s="102"/>
      <c r="AO472" s="102"/>
      <c r="AP472" s="102"/>
      <c r="AQ472" s="102"/>
      <c r="AR472" s="102"/>
      <c r="AS472" s="102"/>
      <c r="AT472" s="102"/>
      <c r="AU472" s="102"/>
      <c r="AV472" s="102"/>
      <c r="AW472" s="102"/>
      <c r="AX472" s="102"/>
      <c r="AY472" s="102"/>
      <c r="AZ472" s="102"/>
      <c r="BA472" s="102"/>
      <c r="BB472" s="102"/>
      <c r="BC472" s="102"/>
      <c r="BD472" s="102"/>
      <c r="BE472" s="102"/>
      <c r="BF472" s="102"/>
      <c r="BG472" s="102"/>
      <c r="BH472" s="102"/>
      <c r="BI472" s="102"/>
      <c r="BJ472" s="102"/>
      <c r="BK472" s="102"/>
      <c r="BL472" s="102"/>
      <c r="BM472" s="102"/>
      <c r="BN472" s="102"/>
      <c r="BO472" s="102"/>
      <c r="BP472" s="102"/>
      <c r="BQ472" s="102"/>
      <c r="BR472" s="102"/>
      <c r="BS472" s="102"/>
      <c r="BT472" s="102"/>
      <c r="BU472" s="102"/>
    </row>
    <row r="473" spans="15:73"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  <c r="AA473" s="102"/>
      <c r="AB473" s="102"/>
      <c r="AC473" s="102"/>
      <c r="AD473" s="102"/>
      <c r="AE473" s="102"/>
      <c r="AF473" s="102"/>
      <c r="AG473" s="102"/>
      <c r="AH473" s="102"/>
      <c r="AI473" s="102"/>
      <c r="AJ473" s="102"/>
      <c r="AK473" s="102"/>
      <c r="AL473" s="102"/>
      <c r="AM473" s="102"/>
      <c r="AN473" s="102"/>
      <c r="AO473" s="102"/>
      <c r="AP473" s="102"/>
      <c r="AQ473" s="102"/>
      <c r="AR473" s="102"/>
      <c r="AS473" s="102"/>
      <c r="AT473" s="102"/>
      <c r="AU473" s="102"/>
      <c r="AV473" s="102"/>
      <c r="AW473" s="102"/>
      <c r="AX473" s="102"/>
      <c r="AY473" s="102"/>
      <c r="AZ473" s="102"/>
      <c r="BA473" s="102"/>
      <c r="BB473" s="102"/>
      <c r="BC473" s="102"/>
      <c r="BD473" s="102"/>
      <c r="BE473" s="102"/>
      <c r="BF473" s="102"/>
      <c r="BG473" s="102"/>
      <c r="BH473" s="102"/>
      <c r="BI473" s="102"/>
      <c r="BJ473" s="102"/>
      <c r="BK473" s="102"/>
      <c r="BL473" s="102"/>
      <c r="BM473" s="102"/>
      <c r="BN473" s="102"/>
      <c r="BO473" s="102"/>
      <c r="BP473" s="102"/>
      <c r="BQ473" s="102"/>
      <c r="BR473" s="102"/>
      <c r="BS473" s="102"/>
      <c r="BT473" s="102"/>
      <c r="BU473" s="102"/>
    </row>
    <row r="474" spans="15:73"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  <c r="AA474" s="102"/>
      <c r="AB474" s="102"/>
      <c r="AC474" s="102"/>
      <c r="AD474" s="102"/>
      <c r="AE474" s="102"/>
      <c r="AF474" s="102"/>
      <c r="AG474" s="102"/>
      <c r="AH474" s="102"/>
      <c r="AI474" s="102"/>
      <c r="AJ474" s="102"/>
      <c r="AK474" s="102"/>
      <c r="AL474" s="102"/>
      <c r="AM474" s="102"/>
      <c r="AN474" s="102"/>
      <c r="AO474" s="102"/>
      <c r="AP474" s="102"/>
      <c r="AQ474" s="102"/>
      <c r="AR474" s="102"/>
      <c r="AS474" s="102"/>
      <c r="AT474" s="102"/>
      <c r="AU474" s="102"/>
      <c r="AV474" s="102"/>
      <c r="AW474" s="102"/>
      <c r="AX474" s="102"/>
      <c r="AY474" s="102"/>
      <c r="AZ474" s="102"/>
      <c r="BA474" s="102"/>
      <c r="BB474" s="102"/>
      <c r="BC474" s="102"/>
      <c r="BD474" s="102"/>
      <c r="BE474" s="102"/>
      <c r="BF474" s="102"/>
      <c r="BG474" s="102"/>
      <c r="BH474" s="102"/>
      <c r="BI474" s="102"/>
      <c r="BJ474" s="102"/>
      <c r="BK474" s="102"/>
      <c r="BL474" s="102"/>
      <c r="BM474" s="102"/>
      <c r="BN474" s="102"/>
      <c r="BO474" s="102"/>
      <c r="BP474" s="102"/>
      <c r="BQ474" s="102"/>
      <c r="BR474" s="102"/>
      <c r="BS474" s="102"/>
      <c r="BT474" s="102"/>
      <c r="BU474" s="102"/>
    </row>
    <row r="475" spans="15:73"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  <c r="AA475" s="102"/>
      <c r="AB475" s="102"/>
      <c r="AC475" s="102"/>
      <c r="AD475" s="102"/>
      <c r="AE475" s="102"/>
      <c r="AF475" s="102"/>
      <c r="AG475" s="102"/>
      <c r="AH475" s="102"/>
      <c r="AI475" s="102"/>
      <c r="AJ475" s="102"/>
      <c r="AK475" s="102"/>
      <c r="AL475" s="102"/>
      <c r="AM475" s="102"/>
      <c r="AN475" s="102"/>
      <c r="AO475" s="102"/>
      <c r="AP475" s="102"/>
      <c r="AQ475" s="102"/>
      <c r="AR475" s="102"/>
      <c r="AS475" s="102"/>
      <c r="AT475" s="102"/>
      <c r="AU475" s="102"/>
      <c r="AV475" s="102"/>
      <c r="AW475" s="102"/>
      <c r="AX475" s="102"/>
      <c r="AY475" s="102"/>
      <c r="AZ475" s="102"/>
      <c r="BA475" s="102"/>
      <c r="BB475" s="102"/>
      <c r="BC475" s="102"/>
      <c r="BD475" s="102"/>
      <c r="BE475" s="102"/>
      <c r="BF475" s="102"/>
      <c r="BG475" s="102"/>
      <c r="BH475" s="102"/>
      <c r="BI475" s="102"/>
      <c r="BJ475" s="102"/>
      <c r="BK475" s="102"/>
      <c r="BL475" s="102"/>
      <c r="BM475" s="102"/>
      <c r="BN475" s="102"/>
      <c r="BO475" s="102"/>
      <c r="BP475" s="102"/>
      <c r="BQ475" s="102"/>
      <c r="BR475" s="102"/>
      <c r="BS475" s="102"/>
      <c r="BT475" s="102"/>
      <c r="BU475" s="102"/>
    </row>
    <row r="476" spans="15:73"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  <c r="AA476" s="102"/>
      <c r="AB476" s="102"/>
      <c r="AC476" s="102"/>
      <c r="AD476" s="102"/>
      <c r="AE476" s="102"/>
      <c r="AF476" s="102"/>
      <c r="AG476" s="102"/>
      <c r="AH476" s="102"/>
      <c r="AI476" s="102"/>
      <c r="AJ476" s="102"/>
      <c r="AK476" s="102"/>
      <c r="AL476" s="102"/>
      <c r="AM476" s="102"/>
      <c r="AN476" s="102"/>
      <c r="AO476" s="102"/>
      <c r="AP476" s="102"/>
      <c r="AQ476" s="102"/>
      <c r="AR476" s="102"/>
      <c r="AS476" s="102"/>
      <c r="AT476" s="102"/>
      <c r="AU476" s="102"/>
      <c r="AV476" s="102"/>
      <c r="AW476" s="102"/>
      <c r="AX476" s="102"/>
      <c r="AY476" s="102"/>
      <c r="AZ476" s="102"/>
      <c r="BA476" s="102"/>
      <c r="BB476" s="102"/>
      <c r="BC476" s="102"/>
      <c r="BD476" s="102"/>
      <c r="BE476" s="102"/>
      <c r="BF476" s="102"/>
      <c r="BG476" s="102"/>
      <c r="BH476" s="102"/>
      <c r="BI476" s="102"/>
      <c r="BJ476" s="102"/>
      <c r="BK476" s="102"/>
      <c r="BL476" s="102"/>
      <c r="BM476" s="102"/>
      <c r="BN476" s="102"/>
      <c r="BO476" s="102"/>
      <c r="BP476" s="102"/>
      <c r="BQ476" s="102"/>
      <c r="BR476" s="102"/>
      <c r="BS476" s="102"/>
      <c r="BT476" s="102"/>
      <c r="BU476" s="102"/>
    </row>
    <row r="477" spans="15:73"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  <c r="AA477" s="102"/>
      <c r="AB477" s="102"/>
      <c r="AC477" s="102"/>
      <c r="AD477" s="102"/>
      <c r="AE477" s="102"/>
      <c r="AF477" s="102"/>
      <c r="AG477" s="102"/>
      <c r="AH477" s="102"/>
      <c r="AI477" s="102"/>
      <c r="AJ477" s="102"/>
      <c r="AK477" s="102"/>
      <c r="AL477" s="102"/>
      <c r="AM477" s="102"/>
      <c r="AN477" s="102"/>
      <c r="AO477" s="102"/>
      <c r="AP477" s="102"/>
      <c r="AQ477" s="102"/>
      <c r="AR477" s="102"/>
      <c r="AS477" s="102"/>
      <c r="AT477" s="102"/>
      <c r="AU477" s="102"/>
      <c r="AV477" s="102"/>
      <c r="AW477" s="102"/>
      <c r="AX477" s="102"/>
      <c r="AY477" s="102"/>
      <c r="AZ477" s="102"/>
      <c r="BA477" s="102"/>
      <c r="BB477" s="102"/>
      <c r="BC477" s="102"/>
      <c r="BD477" s="102"/>
      <c r="BE477" s="102"/>
      <c r="BF477" s="102"/>
      <c r="BG477" s="102"/>
      <c r="BH477" s="102"/>
      <c r="BI477" s="102"/>
      <c r="BJ477" s="102"/>
      <c r="BK477" s="102"/>
      <c r="BL477" s="102"/>
      <c r="BM477" s="102"/>
      <c r="BN477" s="102"/>
      <c r="BO477" s="102"/>
      <c r="BP477" s="102"/>
      <c r="BQ477" s="102"/>
      <c r="BR477" s="102"/>
      <c r="BS477" s="102"/>
      <c r="BT477" s="102"/>
      <c r="BU477" s="102"/>
    </row>
    <row r="478" spans="15:73"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  <c r="AA478" s="102"/>
      <c r="AB478" s="102"/>
      <c r="AC478" s="102"/>
      <c r="AD478" s="102"/>
      <c r="AE478" s="102"/>
      <c r="AF478" s="102"/>
      <c r="AG478" s="102"/>
      <c r="AH478" s="102"/>
      <c r="AI478" s="102"/>
      <c r="AJ478" s="102"/>
      <c r="AK478" s="102"/>
      <c r="AL478" s="102"/>
      <c r="AM478" s="102"/>
      <c r="AN478" s="102"/>
      <c r="AO478" s="102"/>
      <c r="AP478" s="102"/>
      <c r="AQ478" s="102"/>
      <c r="AR478" s="102"/>
      <c r="AS478" s="102"/>
      <c r="AT478" s="102"/>
      <c r="AU478" s="102"/>
      <c r="AV478" s="102"/>
      <c r="AW478" s="102"/>
      <c r="AX478" s="102"/>
      <c r="AY478" s="102"/>
      <c r="AZ478" s="102"/>
      <c r="BA478" s="102"/>
      <c r="BB478" s="102"/>
      <c r="BC478" s="102"/>
      <c r="BD478" s="102"/>
      <c r="BE478" s="102"/>
      <c r="BF478" s="102"/>
      <c r="BG478" s="102"/>
      <c r="BH478" s="102"/>
      <c r="BI478" s="102"/>
      <c r="BJ478" s="102"/>
      <c r="BK478" s="102"/>
      <c r="BL478" s="102"/>
      <c r="BM478" s="102"/>
      <c r="BN478" s="102"/>
      <c r="BO478" s="102"/>
      <c r="BP478" s="102"/>
      <c r="BQ478" s="102"/>
      <c r="BR478" s="102"/>
      <c r="BS478" s="102"/>
      <c r="BT478" s="102"/>
      <c r="BU478" s="102"/>
    </row>
    <row r="479" spans="15:73"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  <c r="AA479" s="102"/>
      <c r="AB479" s="102"/>
      <c r="AC479" s="102"/>
      <c r="AD479" s="102"/>
      <c r="AE479" s="102"/>
      <c r="AF479" s="102"/>
      <c r="AG479" s="102"/>
      <c r="AH479" s="102"/>
      <c r="AI479" s="102"/>
      <c r="AJ479" s="102"/>
      <c r="AK479" s="102"/>
      <c r="AL479" s="102"/>
      <c r="AM479" s="102"/>
      <c r="AN479" s="102"/>
      <c r="AO479" s="102"/>
      <c r="AP479" s="102"/>
      <c r="AQ479" s="102"/>
      <c r="AR479" s="102"/>
      <c r="AS479" s="102"/>
      <c r="AT479" s="102"/>
      <c r="AU479" s="102"/>
      <c r="AV479" s="102"/>
      <c r="AW479" s="102"/>
      <c r="AX479" s="102"/>
      <c r="AY479" s="102"/>
      <c r="AZ479" s="102"/>
      <c r="BA479" s="102"/>
      <c r="BB479" s="102"/>
      <c r="BC479" s="102"/>
      <c r="BD479" s="102"/>
      <c r="BE479" s="102"/>
      <c r="BF479" s="102"/>
      <c r="BG479" s="102"/>
      <c r="BH479" s="102"/>
      <c r="BI479" s="102"/>
      <c r="BJ479" s="102"/>
      <c r="BK479" s="102"/>
      <c r="BL479" s="102"/>
      <c r="BM479" s="102"/>
      <c r="BN479" s="102"/>
      <c r="BO479" s="102"/>
      <c r="BP479" s="102"/>
      <c r="BQ479" s="102"/>
      <c r="BR479" s="102"/>
      <c r="BS479" s="102"/>
      <c r="BT479" s="102"/>
      <c r="BU479" s="102"/>
    </row>
    <row r="480" spans="15:73"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  <c r="AA480" s="102"/>
      <c r="AB480" s="102"/>
      <c r="AC480" s="102"/>
      <c r="AD480" s="102"/>
      <c r="AE480" s="102"/>
      <c r="AF480" s="102"/>
      <c r="AG480" s="102"/>
      <c r="AH480" s="102"/>
      <c r="AI480" s="102"/>
      <c r="AJ480" s="102"/>
      <c r="AK480" s="102"/>
      <c r="AL480" s="102"/>
      <c r="AM480" s="102"/>
      <c r="AN480" s="102"/>
      <c r="AO480" s="102"/>
      <c r="AP480" s="102"/>
      <c r="AQ480" s="102"/>
      <c r="AR480" s="102"/>
      <c r="AS480" s="102"/>
      <c r="AT480" s="102"/>
      <c r="AU480" s="102"/>
      <c r="AV480" s="102"/>
      <c r="AW480" s="102"/>
      <c r="AX480" s="102"/>
      <c r="AY480" s="102"/>
      <c r="AZ480" s="102"/>
      <c r="BA480" s="102"/>
      <c r="BB480" s="102"/>
      <c r="BC480" s="102"/>
      <c r="BD480" s="102"/>
      <c r="BE480" s="102"/>
      <c r="BF480" s="102"/>
      <c r="BG480" s="102"/>
      <c r="BH480" s="102"/>
      <c r="BI480" s="102"/>
      <c r="BJ480" s="102"/>
      <c r="BK480" s="102"/>
      <c r="BL480" s="102"/>
      <c r="BM480" s="102"/>
      <c r="BN480" s="102"/>
      <c r="BO480" s="102"/>
      <c r="BP480" s="102"/>
      <c r="BQ480" s="102"/>
      <c r="BR480" s="102"/>
      <c r="BS480" s="102"/>
      <c r="BT480" s="102"/>
      <c r="BU480" s="102"/>
    </row>
    <row r="481" spans="15:73"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  <c r="AA481" s="102"/>
      <c r="AB481" s="102"/>
      <c r="AC481" s="102"/>
      <c r="AD481" s="102"/>
      <c r="AE481" s="102"/>
      <c r="AF481" s="102"/>
      <c r="AG481" s="102"/>
      <c r="AH481" s="102"/>
      <c r="AI481" s="102"/>
      <c r="AJ481" s="102"/>
      <c r="AK481" s="102"/>
      <c r="AL481" s="102"/>
      <c r="AM481" s="102"/>
      <c r="AN481" s="102"/>
      <c r="AO481" s="102"/>
      <c r="AP481" s="102"/>
      <c r="AQ481" s="102"/>
      <c r="AR481" s="102"/>
      <c r="AS481" s="102"/>
      <c r="AT481" s="102"/>
      <c r="AU481" s="102"/>
      <c r="AV481" s="102"/>
      <c r="AW481" s="102"/>
      <c r="AX481" s="102"/>
      <c r="AY481" s="102"/>
      <c r="AZ481" s="102"/>
      <c r="BA481" s="102"/>
      <c r="BB481" s="102"/>
      <c r="BC481" s="102"/>
      <c r="BD481" s="102"/>
      <c r="BE481" s="102"/>
      <c r="BF481" s="102"/>
      <c r="BG481" s="102"/>
      <c r="BH481" s="102"/>
      <c r="BI481" s="102"/>
      <c r="BJ481" s="102"/>
      <c r="BK481" s="102"/>
      <c r="BL481" s="102"/>
      <c r="BM481" s="102"/>
      <c r="BN481" s="102"/>
      <c r="BO481" s="102"/>
      <c r="BP481" s="102"/>
      <c r="BQ481" s="102"/>
      <c r="BR481" s="102"/>
      <c r="BS481" s="102"/>
      <c r="BT481" s="102"/>
      <c r="BU481" s="102"/>
    </row>
    <row r="482" spans="15:73"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  <c r="AA482" s="102"/>
      <c r="AB482" s="102"/>
      <c r="AC482" s="102"/>
      <c r="AD482" s="102"/>
      <c r="AE482" s="102"/>
      <c r="AF482" s="102"/>
      <c r="AG482" s="102"/>
      <c r="AH482" s="102"/>
      <c r="AI482" s="102"/>
      <c r="AJ482" s="102"/>
      <c r="AK482" s="102"/>
      <c r="AL482" s="102"/>
      <c r="AM482" s="102"/>
      <c r="AN482" s="102"/>
      <c r="AO482" s="102"/>
      <c r="AP482" s="102"/>
      <c r="AQ482" s="102"/>
      <c r="AR482" s="102"/>
      <c r="AS482" s="102"/>
      <c r="AT482" s="102"/>
      <c r="AU482" s="102"/>
      <c r="AV482" s="102"/>
      <c r="AW482" s="102"/>
      <c r="AX482" s="102"/>
      <c r="AY482" s="102"/>
      <c r="AZ482" s="102"/>
      <c r="BA482" s="102"/>
      <c r="BB482" s="102"/>
      <c r="BC482" s="102"/>
      <c r="BD482" s="102"/>
      <c r="BE482" s="102"/>
      <c r="BF482" s="102"/>
      <c r="BG482" s="102"/>
      <c r="BH482" s="102"/>
      <c r="BI482" s="102"/>
      <c r="BJ482" s="102"/>
      <c r="BK482" s="102"/>
      <c r="BL482" s="102"/>
      <c r="BM482" s="102"/>
      <c r="BN482" s="102"/>
      <c r="BO482" s="102"/>
      <c r="BP482" s="102"/>
      <c r="BQ482" s="102"/>
      <c r="BR482" s="102"/>
      <c r="BS482" s="102"/>
      <c r="BT482" s="102"/>
      <c r="BU482" s="102"/>
    </row>
    <row r="483" spans="15:73"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02"/>
      <c r="AM483" s="102"/>
      <c r="AN483" s="102"/>
      <c r="AO483" s="102"/>
      <c r="AP483" s="102"/>
      <c r="AQ483" s="102"/>
      <c r="AR483" s="102"/>
      <c r="AS483" s="102"/>
      <c r="AT483" s="102"/>
      <c r="AU483" s="102"/>
      <c r="AV483" s="102"/>
      <c r="AW483" s="102"/>
      <c r="AX483" s="102"/>
      <c r="AY483" s="102"/>
      <c r="AZ483" s="102"/>
      <c r="BA483" s="102"/>
      <c r="BB483" s="102"/>
      <c r="BC483" s="102"/>
      <c r="BD483" s="102"/>
      <c r="BE483" s="102"/>
      <c r="BF483" s="102"/>
      <c r="BG483" s="102"/>
      <c r="BH483" s="102"/>
      <c r="BI483" s="102"/>
      <c r="BJ483" s="102"/>
      <c r="BK483" s="102"/>
      <c r="BL483" s="102"/>
      <c r="BM483" s="102"/>
      <c r="BN483" s="102"/>
      <c r="BO483" s="102"/>
      <c r="BP483" s="102"/>
      <c r="BQ483" s="102"/>
      <c r="BR483" s="102"/>
      <c r="BS483" s="102"/>
      <c r="BT483" s="102"/>
      <c r="BU483" s="102"/>
    </row>
    <row r="484" spans="15:73"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  <c r="AA484" s="102"/>
      <c r="AB484" s="102"/>
      <c r="AC484" s="102"/>
      <c r="AD484" s="102"/>
      <c r="AE484" s="102"/>
      <c r="AF484" s="102"/>
      <c r="AG484" s="102"/>
      <c r="AH484" s="102"/>
      <c r="AI484" s="102"/>
      <c r="AJ484" s="102"/>
      <c r="AK484" s="102"/>
      <c r="AL484" s="102"/>
      <c r="AM484" s="102"/>
      <c r="AN484" s="102"/>
      <c r="AO484" s="102"/>
      <c r="AP484" s="102"/>
      <c r="AQ484" s="102"/>
      <c r="AR484" s="102"/>
      <c r="AS484" s="102"/>
      <c r="AT484" s="102"/>
      <c r="AU484" s="102"/>
      <c r="AV484" s="102"/>
      <c r="AW484" s="102"/>
      <c r="AX484" s="102"/>
      <c r="AY484" s="102"/>
      <c r="AZ484" s="102"/>
      <c r="BA484" s="102"/>
      <c r="BB484" s="102"/>
      <c r="BC484" s="102"/>
      <c r="BD484" s="102"/>
      <c r="BE484" s="102"/>
      <c r="BF484" s="102"/>
      <c r="BG484" s="102"/>
      <c r="BH484" s="102"/>
      <c r="BI484" s="102"/>
      <c r="BJ484" s="102"/>
      <c r="BK484" s="102"/>
      <c r="BL484" s="102"/>
      <c r="BM484" s="102"/>
      <c r="BN484" s="102"/>
      <c r="BO484" s="102"/>
      <c r="BP484" s="102"/>
      <c r="BQ484" s="102"/>
      <c r="BR484" s="102"/>
      <c r="BS484" s="102"/>
      <c r="BT484" s="102"/>
      <c r="BU484" s="102"/>
    </row>
    <row r="485" spans="15:73"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  <c r="AA485" s="102"/>
      <c r="AB485" s="102"/>
      <c r="AC485" s="102"/>
      <c r="AD485" s="102"/>
      <c r="AE485" s="102"/>
      <c r="AF485" s="102"/>
      <c r="AG485" s="102"/>
      <c r="AH485" s="102"/>
      <c r="AI485" s="102"/>
      <c r="AJ485" s="102"/>
      <c r="AK485" s="102"/>
      <c r="AL485" s="102"/>
      <c r="AM485" s="102"/>
      <c r="AN485" s="102"/>
      <c r="AO485" s="102"/>
      <c r="AP485" s="102"/>
      <c r="AQ485" s="102"/>
      <c r="AR485" s="102"/>
      <c r="AS485" s="102"/>
      <c r="AT485" s="102"/>
      <c r="AU485" s="102"/>
      <c r="AV485" s="102"/>
      <c r="AW485" s="102"/>
      <c r="AX485" s="102"/>
      <c r="AY485" s="102"/>
      <c r="AZ485" s="102"/>
      <c r="BA485" s="102"/>
      <c r="BB485" s="102"/>
      <c r="BC485" s="102"/>
      <c r="BD485" s="102"/>
      <c r="BE485" s="102"/>
      <c r="BF485" s="102"/>
      <c r="BG485" s="102"/>
      <c r="BH485" s="102"/>
      <c r="BI485" s="102"/>
      <c r="BJ485" s="102"/>
      <c r="BK485" s="102"/>
      <c r="BL485" s="102"/>
      <c r="BM485" s="102"/>
      <c r="BN485" s="102"/>
      <c r="BO485" s="102"/>
      <c r="BP485" s="102"/>
      <c r="BQ485" s="102"/>
      <c r="BR485" s="102"/>
      <c r="BS485" s="102"/>
      <c r="BT485" s="102"/>
      <c r="BU485" s="102"/>
    </row>
    <row r="486" spans="15:73"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  <c r="AA486" s="102"/>
      <c r="AB486" s="102"/>
      <c r="AC486" s="102"/>
      <c r="AD486" s="102"/>
      <c r="AE486" s="102"/>
      <c r="AF486" s="102"/>
      <c r="AG486" s="102"/>
      <c r="AH486" s="102"/>
      <c r="AI486" s="102"/>
      <c r="AJ486" s="102"/>
      <c r="AK486" s="102"/>
      <c r="AL486" s="102"/>
      <c r="AM486" s="102"/>
      <c r="AN486" s="102"/>
      <c r="AO486" s="102"/>
      <c r="AP486" s="102"/>
      <c r="AQ486" s="102"/>
      <c r="AR486" s="102"/>
      <c r="AS486" s="102"/>
      <c r="AT486" s="102"/>
      <c r="AU486" s="102"/>
      <c r="AV486" s="102"/>
      <c r="AW486" s="102"/>
      <c r="AX486" s="102"/>
      <c r="AY486" s="102"/>
      <c r="AZ486" s="102"/>
      <c r="BA486" s="102"/>
      <c r="BB486" s="102"/>
      <c r="BC486" s="102"/>
      <c r="BD486" s="102"/>
      <c r="BE486" s="102"/>
      <c r="BF486" s="102"/>
      <c r="BG486" s="102"/>
      <c r="BH486" s="102"/>
      <c r="BI486" s="102"/>
      <c r="BJ486" s="102"/>
      <c r="BK486" s="102"/>
      <c r="BL486" s="102"/>
      <c r="BM486" s="102"/>
      <c r="BN486" s="102"/>
      <c r="BO486" s="102"/>
      <c r="BP486" s="102"/>
      <c r="BQ486" s="102"/>
      <c r="BR486" s="102"/>
      <c r="BS486" s="102"/>
      <c r="BT486" s="102"/>
      <c r="BU486" s="102"/>
    </row>
    <row r="487" spans="15:73"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  <c r="AA487" s="102"/>
      <c r="AB487" s="102"/>
      <c r="AC487" s="102"/>
      <c r="AD487" s="102"/>
      <c r="AE487" s="102"/>
      <c r="AF487" s="102"/>
      <c r="AG487" s="102"/>
      <c r="AH487" s="102"/>
      <c r="AI487" s="102"/>
      <c r="AJ487" s="102"/>
      <c r="AK487" s="102"/>
      <c r="AL487" s="102"/>
      <c r="AM487" s="102"/>
      <c r="AN487" s="102"/>
      <c r="AO487" s="102"/>
      <c r="AP487" s="102"/>
      <c r="AQ487" s="102"/>
      <c r="AR487" s="102"/>
      <c r="AS487" s="102"/>
      <c r="AT487" s="102"/>
      <c r="AU487" s="102"/>
      <c r="AV487" s="102"/>
      <c r="AW487" s="102"/>
      <c r="AX487" s="102"/>
      <c r="AY487" s="102"/>
      <c r="AZ487" s="102"/>
      <c r="BA487" s="102"/>
      <c r="BB487" s="102"/>
      <c r="BC487" s="102"/>
      <c r="BD487" s="102"/>
      <c r="BE487" s="102"/>
      <c r="BF487" s="102"/>
      <c r="BG487" s="102"/>
      <c r="BH487" s="102"/>
      <c r="BI487" s="102"/>
      <c r="BJ487" s="102"/>
      <c r="BK487" s="102"/>
      <c r="BL487" s="102"/>
      <c r="BM487" s="102"/>
      <c r="BN487" s="102"/>
      <c r="BO487" s="102"/>
      <c r="BP487" s="102"/>
      <c r="BQ487" s="102"/>
      <c r="BR487" s="102"/>
      <c r="BS487" s="102"/>
      <c r="BT487" s="102"/>
      <c r="BU487" s="102"/>
    </row>
    <row r="488" spans="15:73"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  <c r="AA488" s="102"/>
      <c r="AB488" s="102"/>
      <c r="AC488" s="102"/>
      <c r="AD488" s="102"/>
      <c r="AE488" s="102"/>
      <c r="AF488" s="102"/>
      <c r="AG488" s="102"/>
      <c r="AH488" s="102"/>
      <c r="AI488" s="102"/>
      <c r="AJ488" s="102"/>
      <c r="AK488" s="102"/>
      <c r="AL488" s="102"/>
      <c r="AM488" s="102"/>
      <c r="AN488" s="102"/>
      <c r="AO488" s="102"/>
      <c r="AP488" s="102"/>
      <c r="AQ488" s="102"/>
      <c r="AR488" s="102"/>
      <c r="AS488" s="102"/>
      <c r="AT488" s="102"/>
      <c r="AU488" s="102"/>
      <c r="AV488" s="102"/>
      <c r="AW488" s="102"/>
      <c r="AX488" s="102"/>
      <c r="AY488" s="102"/>
      <c r="AZ488" s="102"/>
      <c r="BA488" s="102"/>
      <c r="BB488" s="102"/>
      <c r="BC488" s="102"/>
      <c r="BD488" s="102"/>
      <c r="BE488" s="102"/>
      <c r="BF488" s="102"/>
      <c r="BG488" s="102"/>
      <c r="BH488" s="102"/>
      <c r="BI488" s="102"/>
      <c r="BJ488" s="102"/>
      <c r="BK488" s="102"/>
      <c r="BL488" s="102"/>
      <c r="BM488" s="102"/>
      <c r="BN488" s="102"/>
      <c r="BO488" s="102"/>
      <c r="BP488" s="102"/>
      <c r="BQ488" s="102"/>
      <c r="BR488" s="102"/>
      <c r="BS488" s="102"/>
      <c r="BT488" s="102"/>
      <c r="BU488" s="102"/>
    </row>
    <row r="489" spans="15:73"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  <c r="AA489" s="102"/>
      <c r="AB489" s="102"/>
      <c r="AC489" s="102"/>
      <c r="AD489" s="102"/>
      <c r="AE489" s="102"/>
      <c r="AF489" s="102"/>
      <c r="AG489" s="102"/>
      <c r="AH489" s="102"/>
      <c r="AI489" s="102"/>
      <c r="AJ489" s="102"/>
      <c r="AK489" s="102"/>
      <c r="AL489" s="102"/>
      <c r="AM489" s="102"/>
      <c r="AN489" s="102"/>
      <c r="AO489" s="102"/>
      <c r="AP489" s="102"/>
      <c r="AQ489" s="102"/>
      <c r="AR489" s="102"/>
      <c r="AS489" s="102"/>
      <c r="AT489" s="102"/>
      <c r="AU489" s="102"/>
      <c r="AV489" s="102"/>
      <c r="AW489" s="102"/>
      <c r="AX489" s="102"/>
      <c r="AY489" s="102"/>
      <c r="AZ489" s="102"/>
      <c r="BA489" s="102"/>
      <c r="BB489" s="102"/>
      <c r="BC489" s="102"/>
      <c r="BD489" s="102"/>
      <c r="BE489" s="102"/>
      <c r="BF489" s="102"/>
      <c r="BG489" s="102"/>
      <c r="BH489" s="102"/>
      <c r="BI489" s="102"/>
      <c r="BJ489" s="102"/>
      <c r="BK489" s="102"/>
      <c r="BL489" s="102"/>
      <c r="BM489" s="102"/>
      <c r="BN489" s="102"/>
      <c r="BO489" s="102"/>
      <c r="BP489" s="102"/>
      <c r="BQ489" s="102"/>
      <c r="BR489" s="102"/>
      <c r="BS489" s="102"/>
      <c r="BT489" s="102"/>
      <c r="BU489" s="102"/>
    </row>
    <row r="490" spans="15:73"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  <c r="AA490" s="102"/>
      <c r="AB490" s="102"/>
      <c r="AC490" s="102"/>
      <c r="AD490" s="102"/>
      <c r="AE490" s="102"/>
      <c r="AF490" s="102"/>
      <c r="AG490" s="102"/>
      <c r="AH490" s="102"/>
      <c r="AI490" s="102"/>
      <c r="AJ490" s="102"/>
      <c r="AK490" s="102"/>
      <c r="AL490" s="102"/>
      <c r="AM490" s="102"/>
      <c r="AN490" s="102"/>
      <c r="AO490" s="102"/>
      <c r="AP490" s="102"/>
      <c r="AQ490" s="102"/>
      <c r="AR490" s="102"/>
      <c r="AS490" s="102"/>
      <c r="AT490" s="102"/>
      <c r="AU490" s="102"/>
      <c r="AV490" s="102"/>
      <c r="AW490" s="102"/>
      <c r="AX490" s="102"/>
      <c r="AY490" s="102"/>
      <c r="AZ490" s="102"/>
      <c r="BA490" s="102"/>
      <c r="BB490" s="102"/>
      <c r="BC490" s="102"/>
      <c r="BD490" s="102"/>
      <c r="BE490" s="102"/>
      <c r="BF490" s="102"/>
      <c r="BG490" s="102"/>
      <c r="BH490" s="102"/>
      <c r="BI490" s="102"/>
      <c r="BJ490" s="102"/>
      <c r="BK490" s="102"/>
      <c r="BL490" s="102"/>
      <c r="BM490" s="102"/>
      <c r="BN490" s="102"/>
      <c r="BO490" s="102"/>
      <c r="BP490" s="102"/>
      <c r="BQ490" s="102"/>
      <c r="BR490" s="102"/>
      <c r="BS490" s="102"/>
      <c r="BT490" s="102"/>
      <c r="BU490" s="102"/>
    </row>
    <row r="491" spans="15:73"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  <c r="AA491" s="102"/>
      <c r="AB491" s="102"/>
      <c r="AC491" s="102"/>
      <c r="AD491" s="102"/>
      <c r="AE491" s="102"/>
      <c r="AF491" s="102"/>
      <c r="AG491" s="102"/>
      <c r="AH491" s="102"/>
      <c r="AI491" s="102"/>
      <c r="AJ491" s="102"/>
      <c r="AK491" s="102"/>
      <c r="AL491" s="102"/>
      <c r="AM491" s="102"/>
      <c r="AN491" s="102"/>
      <c r="AO491" s="102"/>
      <c r="AP491" s="102"/>
      <c r="AQ491" s="102"/>
      <c r="AR491" s="102"/>
      <c r="AS491" s="102"/>
      <c r="AT491" s="102"/>
      <c r="AU491" s="102"/>
      <c r="AV491" s="102"/>
      <c r="AW491" s="102"/>
      <c r="AX491" s="102"/>
      <c r="AY491" s="102"/>
      <c r="AZ491" s="102"/>
      <c r="BA491" s="102"/>
      <c r="BB491" s="102"/>
      <c r="BC491" s="102"/>
      <c r="BD491" s="102"/>
      <c r="BE491" s="102"/>
      <c r="BF491" s="102"/>
      <c r="BG491" s="102"/>
      <c r="BH491" s="102"/>
      <c r="BI491" s="102"/>
      <c r="BJ491" s="102"/>
      <c r="BK491" s="102"/>
      <c r="BL491" s="102"/>
      <c r="BM491" s="102"/>
      <c r="BN491" s="102"/>
      <c r="BO491" s="102"/>
      <c r="BP491" s="102"/>
      <c r="BQ491" s="102"/>
      <c r="BR491" s="102"/>
      <c r="BS491" s="102"/>
      <c r="BT491" s="102"/>
      <c r="BU491" s="102"/>
    </row>
    <row r="492" spans="15:73"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  <c r="AA492" s="102"/>
      <c r="AB492" s="102"/>
      <c r="AC492" s="102"/>
      <c r="AD492" s="102"/>
      <c r="AE492" s="102"/>
      <c r="AF492" s="102"/>
      <c r="AG492" s="102"/>
      <c r="AH492" s="102"/>
      <c r="AI492" s="102"/>
      <c r="AJ492" s="102"/>
      <c r="AK492" s="102"/>
      <c r="AL492" s="102"/>
      <c r="AM492" s="102"/>
      <c r="AN492" s="102"/>
      <c r="AO492" s="102"/>
      <c r="AP492" s="102"/>
      <c r="AQ492" s="102"/>
      <c r="AR492" s="102"/>
      <c r="AS492" s="102"/>
      <c r="AT492" s="102"/>
      <c r="AU492" s="102"/>
      <c r="AV492" s="102"/>
      <c r="AW492" s="102"/>
      <c r="AX492" s="102"/>
      <c r="AY492" s="102"/>
      <c r="AZ492" s="102"/>
      <c r="BA492" s="102"/>
      <c r="BB492" s="102"/>
      <c r="BC492" s="102"/>
      <c r="BD492" s="102"/>
      <c r="BE492" s="102"/>
      <c r="BF492" s="102"/>
      <c r="BG492" s="102"/>
      <c r="BH492" s="102"/>
      <c r="BI492" s="102"/>
      <c r="BJ492" s="102"/>
      <c r="BK492" s="102"/>
      <c r="BL492" s="102"/>
      <c r="BM492" s="102"/>
      <c r="BN492" s="102"/>
      <c r="BO492" s="102"/>
      <c r="BP492" s="102"/>
      <c r="BQ492" s="102"/>
      <c r="BR492" s="102"/>
      <c r="BS492" s="102"/>
      <c r="BT492" s="102"/>
      <c r="BU492" s="102"/>
    </row>
    <row r="493" spans="15:73"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  <c r="AA493" s="102"/>
      <c r="AB493" s="102"/>
      <c r="AC493" s="102"/>
      <c r="AD493" s="102"/>
      <c r="AE493" s="102"/>
      <c r="AF493" s="102"/>
      <c r="AG493" s="102"/>
      <c r="AH493" s="102"/>
      <c r="AI493" s="102"/>
      <c r="AJ493" s="102"/>
      <c r="AK493" s="102"/>
      <c r="AL493" s="102"/>
      <c r="AM493" s="102"/>
      <c r="AN493" s="102"/>
      <c r="AO493" s="102"/>
      <c r="AP493" s="102"/>
      <c r="AQ493" s="102"/>
      <c r="AR493" s="102"/>
      <c r="AS493" s="102"/>
      <c r="AT493" s="102"/>
      <c r="AU493" s="102"/>
      <c r="AV493" s="102"/>
      <c r="AW493" s="102"/>
      <c r="AX493" s="102"/>
      <c r="AY493" s="102"/>
      <c r="AZ493" s="102"/>
      <c r="BA493" s="102"/>
      <c r="BB493" s="102"/>
      <c r="BC493" s="102"/>
      <c r="BD493" s="102"/>
      <c r="BE493" s="102"/>
      <c r="BF493" s="102"/>
      <c r="BG493" s="102"/>
      <c r="BH493" s="102"/>
      <c r="BI493" s="102"/>
      <c r="BJ493" s="102"/>
      <c r="BK493" s="102"/>
      <c r="BL493" s="102"/>
      <c r="BM493" s="102"/>
      <c r="BN493" s="102"/>
      <c r="BO493" s="102"/>
      <c r="BP493" s="102"/>
      <c r="BQ493" s="102"/>
      <c r="BR493" s="102"/>
      <c r="BS493" s="102"/>
      <c r="BT493" s="102"/>
      <c r="BU493" s="102"/>
    </row>
    <row r="494" spans="15:73"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  <c r="AA494" s="102"/>
      <c r="AB494" s="102"/>
      <c r="AC494" s="102"/>
      <c r="AD494" s="102"/>
      <c r="AE494" s="102"/>
      <c r="AF494" s="102"/>
      <c r="AG494" s="102"/>
      <c r="AH494" s="102"/>
      <c r="AI494" s="102"/>
      <c r="AJ494" s="102"/>
      <c r="AK494" s="102"/>
      <c r="AL494" s="102"/>
      <c r="AM494" s="102"/>
      <c r="AN494" s="102"/>
      <c r="AO494" s="102"/>
      <c r="AP494" s="102"/>
      <c r="AQ494" s="102"/>
      <c r="AR494" s="102"/>
      <c r="AS494" s="102"/>
      <c r="AT494" s="102"/>
      <c r="AU494" s="102"/>
      <c r="AV494" s="102"/>
      <c r="AW494" s="102"/>
      <c r="AX494" s="102"/>
      <c r="AY494" s="102"/>
      <c r="AZ494" s="102"/>
      <c r="BA494" s="102"/>
      <c r="BB494" s="102"/>
      <c r="BC494" s="102"/>
      <c r="BD494" s="102"/>
      <c r="BE494" s="102"/>
      <c r="BF494" s="102"/>
      <c r="BG494" s="102"/>
      <c r="BH494" s="102"/>
      <c r="BI494" s="102"/>
      <c r="BJ494" s="102"/>
      <c r="BK494" s="102"/>
      <c r="BL494" s="102"/>
      <c r="BM494" s="102"/>
      <c r="BN494" s="102"/>
      <c r="BO494" s="102"/>
      <c r="BP494" s="102"/>
      <c r="BQ494" s="102"/>
      <c r="BR494" s="102"/>
      <c r="BS494" s="102"/>
      <c r="BT494" s="102"/>
      <c r="BU494" s="102"/>
    </row>
    <row r="495" spans="15:73"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  <c r="AA495" s="102"/>
      <c r="AB495" s="102"/>
      <c r="AC495" s="102"/>
      <c r="AD495" s="102"/>
      <c r="AE495" s="102"/>
      <c r="AF495" s="102"/>
      <c r="AG495" s="102"/>
      <c r="AH495" s="102"/>
      <c r="AI495" s="102"/>
      <c r="AJ495" s="102"/>
      <c r="AK495" s="102"/>
      <c r="AL495" s="102"/>
      <c r="AM495" s="102"/>
      <c r="AN495" s="102"/>
      <c r="AO495" s="102"/>
      <c r="AP495" s="102"/>
      <c r="AQ495" s="102"/>
      <c r="AR495" s="102"/>
      <c r="AS495" s="102"/>
      <c r="AT495" s="102"/>
      <c r="AU495" s="102"/>
      <c r="AV495" s="102"/>
      <c r="AW495" s="102"/>
      <c r="AX495" s="102"/>
      <c r="AY495" s="102"/>
      <c r="AZ495" s="102"/>
      <c r="BA495" s="102"/>
      <c r="BB495" s="102"/>
      <c r="BC495" s="102"/>
      <c r="BD495" s="102"/>
      <c r="BE495" s="102"/>
      <c r="BF495" s="102"/>
      <c r="BG495" s="102"/>
      <c r="BH495" s="102"/>
      <c r="BI495" s="102"/>
      <c r="BJ495" s="102"/>
      <c r="BK495" s="102"/>
      <c r="BL495" s="102"/>
      <c r="BM495" s="102"/>
      <c r="BN495" s="102"/>
      <c r="BO495" s="102"/>
      <c r="BP495" s="102"/>
      <c r="BQ495" s="102"/>
      <c r="BR495" s="102"/>
      <c r="BS495" s="102"/>
      <c r="BT495" s="102"/>
      <c r="BU495" s="102"/>
    </row>
    <row r="496" spans="15:73"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  <c r="AA496" s="102"/>
      <c r="AB496" s="102"/>
      <c r="AC496" s="102"/>
      <c r="AD496" s="102"/>
      <c r="AE496" s="102"/>
      <c r="AF496" s="102"/>
      <c r="AG496" s="102"/>
      <c r="AH496" s="102"/>
      <c r="AI496" s="102"/>
      <c r="AJ496" s="102"/>
      <c r="AK496" s="102"/>
      <c r="AL496" s="102"/>
      <c r="AM496" s="102"/>
      <c r="AN496" s="102"/>
      <c r="AO496" s="102"/>
      <c r="AP496" s="102"/>
      <c r="AQ496" s="102"/>
      <c r="AR496" s="102"/>
      <c r="AS496" s="102"/>
      <c r="AT496" s="102"/>
      <c r="AU496" s="102"/>
      <c r="AV496" s="102"/>
      <c r="AW496" s="102"/>
      <c r="AX496" s="102"/>
      <c r="AY496" s="102"/>
      <c r="AZ496" s="102"/>
      <c r="BA496" s="102"/>
      <c r="BB496" s="102"/>
      <c r="BC496" s="102"/>
      <c r="BD496" s="102"/>
      <c r="BE496" s="102"/>
      <c r="BF496" s="102"/>
      <c r="BG496" s="102"/>
      <c r="BH496" s="102"/>
      <c r="BI496" s="102"/>
      <c r="BJ496" s="102"/>
      <c r="BK496" s="102"/>
      <c r="BL496" s="102"/>
      <c r="BM496" s="102"/>
      <c r="BN496" s="102"/>
      <c r="BO496" s="102"/>
      <c r="BP496" s="102"/>
      <c r="BQ496" s="102"/>
      <c r="BR496" s="102"/>
      <c r="BS496" s="102"/>
      <c r="BT496" s="102"/>
      <c r="BU496" s="102"/>
    </row>
    <row r="497" spans="15:73"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  <c r="AA497" s="102"/>
      <c r="AB497" s="102"/>
      <c r="AC497" s="102"/>
      <c r="AD497" s="102"/>
      <c r="AE497" s="102"/>
      <c r="AF497" s="102"/>
      <c r="AG497" s="102"/>
      <c r="AH497" s="102"/>
      <c r="AI497" s="102"/>
      <c r="AJ497" s="102"/>
      <c r="AK497" s="102"/>
      <c r="AL497" s="102"/>
      <c r="AM497" s="102"/>
      <c r="AN497" s="102"/>
      <c r="AO497" s="102"/>
      <c r="AP497" s="102"/>
      <c r="AQ497" s="102"/>
      <c r="AR497" s="102"/>
      <c r="AS497" s="102"/>
      <c r="AT497" s="102"/>
      <c r="AU497" s="102"/>
      <c r="AV497" s="102"/>
      <c r="AW497" s="102"/>
      <c r="AX497" s="102"/>
      <c r="AY497" s="102"/>
      <c r="AZ497" s="102"/>
      <c r="BA497" s="102"/>
      <c r="BB497" s="102"/>
      <c r="BC497" s="102"/>
      <c r="BD497" s="102"/>
      <c r="BE497" s="102"/>
      <c r="BF497" s="102"/>
      <c r="BG497" s="102"/>
      <c r="BH497" s="102"/>
      <c r="BI497" s="102"/>
      <c r="BJ497" s="102"/>
      <c r="BK497" s="102"/>
      <c r="BL497" s="102"/>
      <c r="BM497" s="102"/>
      <c r="BN497" s="102"/>
      <c r="BO497" s="102"/>
      <c r="BP497" s="102"/>
      <c r="BQ497" s="102"/>
      <c r="BR497" s="102"/>
      <c r="BS497" s="102"/>
      <c r="BT497" s="102"/>
      <c r="BU497" s="102"/>
    </row>
    <row r="498" spans="15:73"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  <c r="AA498" s="102"/>
      <c r="AB498" s="102"/>
      <c r="AC498" s="102"/>
      <c r="AD498" s="102"/>
      <c r="AE498" s="102"/>
      <c r="AF498" s="102"/>
      <c r="AG498" s="102"/>
      <c r="AH498" s="102"/>
      <c r="AI498" s="102"/>
      <c r="AJ498" s="102"/>
      <c r="AK498" s="102"/>
      <c r="AL498" s="102"/>
      <c r="AM498" s="102"/>
      <c r="AN498" s="102"/>
      <c r="AO498" s="102"/>
      <c r="AP498" s="102"/>
      <c r="AQ498" s="102"/>
      <c r="AR498" s="102"/>
      <c r="AS498" s="102"/>
      <c r="AT498" s="102"/>
      <c r="AU498" s="102"/>
      <c r="AV498" s="102"/>
      <c r="AW498" s="102"/>
      <c r="AX498" s="102"/>
      <c r="AY498" s="102"/>
      <c r="AZ498" s="102"/>
      <c r="BA498" s="102"/>
      <c r="BB498" s="102"/>
      <c r="BC498" s="102"/>
      <c r="BD498" s="102"/>
      <c r="BE498" s="102"/>
      <c r="BF498" s="102"/>
      <c r="BG498" s="102"/>
      <c r="BH498" s="102"/>
      <c r="BI498" s="102"/>
      <c r="BJ498" s="102"/>
      <c r="BK498" s="102"/>
      <c r="BL498" s="102"/>
      <c r="BM498" s="102"/>
      <c r="BN498" s="102"/>
      <c r="BO498" s="102"/>
      <c r="BP498" s="102"/>
      <c r="BQ498" s="102"/>
      <c r="BR498" s="102"/>
      <c r="BS498" s="102"/>
      <c r="BT498" s="102"/>
      <c r="BU498" s="102"/>
    </row>
    <row r="499" spans="15:73"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  <c r="AA499" s="102"/>
      <c r="AB499" s="102"/>
      <c r="AC499" s="102"/>
      <c r="AD499" s="102"/>
      <c r="AE499" s="102"/>
      <c r="AF499" s="102"/>
      <c r="AG499" s="102"/>
      <c r="AH499" s="102"/>
      <c r="AI499" s="102"/>
      <c r="AJ499" s="102"/>
      <c r="AK499" s="102"/>
      <c r="AL499" s="102"/>
      <c r="AM499" s="102"/>
      <c r="AN499" s="102"/>
      <c r="AO499" s="102"/>
      <c r="AP499" s="102"/>
      <c r="AQ499" s="102"/>
      <c r="AR499" s="102"/>
      <c r="AS499" s="102"/>
      <c r="AT499" s="102"/>
      <c r="AU499" s="102"/>
      <c r="AV499" s="102"/>
      <c r="AW499" s="102"/>
      <c r="AX499" s="102"/>
      <c r="AY499" s="102"/>
      <c r="AZ499" s="102"/>
      <c r="BA499" s="102"/>
      <c r="BB499" s="102"/>
      <c r="BC499" s="102"/>
      <c r="BD499" s="102"/>
      <c r="BE499" s="102"/>
      <c r="BF499" s="102"/>
      <c r="BG499" s="102"/>
      <c r="BH499" s="102"/>
      <c r="BI499" s="102"/>
      <c r="BJ499" s="102"/>
      <c r="BK499" s="102"/>
      <c r="BL499" s="102"/>
      <c r="BM499" s="102"/>
      <c r="BN499" s="102"/>
      <c r="BO499" s="102"/>
      <c r="BP499" s="102"/>
      <c r="BQ499" s="102"/>
      <c r="BR499" s="102"/>
      <c r="BS499" s="102"/>
      <c r="BT499" s="102"/>
      <c r="BU499" s="102"/>
    </row>
    <row r="500" spans="15:73"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02"/>
      <c r="AB500" s="102"/>
      <c r="AC500" s="102"/>
      <c r="AD500" s="102"/>
      <c r="AE500" s="102"/>
      <c r="AF500" s="102"/>
      <c r="AG500" s="102"/>
      <c r="AH500" s="102"/>
      <c r="AI500" s="102"/>
      <c r="AJ500" s="102"/>
      <c r="AK500" s="102"/>
      <c r="AL500" s="102"/>
      <c r="AM500" s="102"/>
      <c r="AN500" s="102"/>
      <c r="AO500" s="102"/>
      <c r="AP500" s="102"/>
      <c r="AQ500" s="102"/>
      <c r="AR500" s="102"/>
      <c r="AS500" s="102"/>
      <c r="AT500" s="102"/>
      <c r="AU500" s="102"/>
      <c r="AV500" s="102"/>
      <c r="AW500" s="102"/>
      <c r="AX500" s="102"/>
      <c r="AY500" s="102"/>
      <c r="AZ500" s="102"/>
      <c r="BA500" s="102"/>
      <c r="BB500" s="102"/>
      <c r="BC500" s="102"/>
      <c r="BD500" s="102"/>
      <c r="BE500" s="102"/>
      <c r="BF500" s="102"/>
      <c r="BG500" s="102"/>
      <c r="BH500" s="102"/>
      <c r="BI500" s="102"/>
      <c r="BJ500" s="102"/>
      <c r="BK500" s="102"/>
      <c r="BL500" s="102"/>
      <c r="BM500" s="102"/>
      <c r="BN500" s="102"/>
      <c r="BO500" s="102"/>
      <c r="BP500" s="102"/>
      <c r="BQ500" s="102"/>
      <c r="BR500" s="102"/>
      <c r="BS500" s="102"/>
      <c r="BT500" s="102"/>
      <c r="BU500" s="102"/>
    </row>
    <row r="501" spans="15:73"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  <c r="AA501" s="102"/>
      <c r="AB501" s="102"/>
      <c r="AC501" s="102"/>
      <c r="AD501" s="102"/>
      <c r="AE501" s="102"/>
      <c r="AF501" s="102"/>
      <c r="AG501" s="102"/>
      <c r="AH501" s="102"/>
      <c r="AI501" s="102"/>
      <c r="AJ501" s="102"/>
      <c r="AK501" s="102"/>
      <c r="AL501" s="102"/>
      <c r="AM501" s="102"/>
      <c r="AN501" s="102"/>
      <c r="AO501" s="102"/>
      <c r="AP501" s="102"/>
      <c r="AQ501" s="102"/>
      <c r="AR501" s="102"/>
      <c r="AS501" s="102"/>
      <c r="AT501" s="102"/>
      <c r="AU501" s="102"/>
      <c r="AV501" s="102"/>
      <c r="AW501" s="102"/>
      <c r="AX501" s="102"/>
      <c r="AY501" s="102"/>
      <c r="AZ501" s="102"/>
      <c r="BA501" s="102"/>
      <c r="BB501" s="102"/>
      <c r="BC501" s="102"/>
      <c r="BD501" s="102"/>
      <c r="BE501" s="102"/>
      <c r="BF501" s="102"/>
      <c r="BG501" s="102"/>
      <c r="BH501" s="102"/>
      <c r="BI501" s="102"/>
      <c r="BJ501" s="102"/>
      <c r="BK501" s="102"/>
      <c r="BL501" s="102"/>
      <c r="BM501" s="102"/>
      <c r="BN501" s="102"/>
      <c r="BO501" s="102"/>
      <c r="BP501" s="102"/>
      <c r="BQ501" s="102"/>
      <c r="BR501" s="102"/>
      <c r="BS501" s="102"/>
      <c r="BT501" s="102"/>
      <c r="BU501" s="102"/>
    </row>
    <row r="502" spans="15:73"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  <c r="AA502" s="102"/>
      <c r="AB502" s="102"/>
      <c r="AC502" s="102"/>
      <c r="AD502" s="102"/>
      <c r="AE502" s="102"/>
      <c r="AF502" s="102"/>
      <c r="AG502" s="102"/>
      <c r="AH502" s="102"/>
      <c r="AI502" s="102"/>
      <c r="AJ502" s="102"/>
      <c r="AK502" s="102"/>
      <c r="AL502" s="102"/>
      <c r="AM502" s="102"/>
      <c r="AN502" s="102"/>
      <c r="AO502" s="102"/>
      <c r="AP502" s="102"/>
      <c r="AQ502" s="102"/>
      <c r="AR502" s="102"/>
      <c r="AS502" s="102"/>
      <c r="AT502" s="102"/>
      <c r="AU502" s="102"/>
      <c r="AV502" s="102"/>
      <c r="AW502" s="102"/>
      <c r="AX502" s="102"/>
      <c r="AY502" s="102"/>
      <c r="AZ502" s="102"/>
      <c r="BA502" s="102"/>
      <c r="BB502" s="102"/>
      <c r="BC502" s="102"/>
      <c r="BD502" s="102"/>
      <c r="BE502" s="102"/>
      <c r="BF502" s="102"/>
      <c r="BG502" s="102"/>
      <c r="BH502" s="102"/>
      <c r="BI502" s="102"/>
      <c r="BJ502" s="102"/>
      <c r="BK502" s="102"/>
      <c r="BL502" s="102"/>
      <c r="BM502" s="102"/>
      <c r="BN502" s="102"/>
      <c r="BO502" s="102"/>
      <c r="BP502" s="102"/>
      <c r="BQ502" s="102"/>
      <c r="BR502" s="102"/>
      <c r="BS502" s="102"/>
      <c r="BT502" s="102"/>
      <c r="BU502" s="102"/>
    </row>
    <row r="503" spans="15:73"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  <c r="AA503" s="102"/>
      <c r="AB503" s="102"/>
      <c r="AC503" s="102"/>
      <c r="AD503" s="102"/>
      <c r="AE503" s="102"/>
      <c r="AF503" s="102"/>
      <c r="AG503" s="102"/>
      <c r="AH503" s="102"/>
      <c r="AI503" s="102"/>
      <c r="AJ503" s="102"/>
      <c r="AK503" s="102"/>
      <c r="AL503" s="102"/>
      <c r="AM503" s="102"/>
      <c r="AN503" s="102"/>
      <c r="AO503" s="102"/>
      <c r="AP503" s="102"/>
      <c r="AQ503" s="102"/>
      <c r="AR503" s="102"/>
      <c r="AS503" s="102"/>
      <c r="AT503" s="102"/>
      <c r="AU503" s="102"/>
      <c r="AV503" s="102"/>
      <c r="AW503" s="102"/>
      <c r="AX503" s="102"/>
      <c r="AY503" s="102"/>
      <c r="AZ503" s="102"/>
      <c r="BA503" s="102"/>
      <c r="BB503" s="102"/>
      <c r="BC503" s="102"/>
      <c r="BD503" s="102"/>
      <c r="BE503" s="102"/>
      <c r="BF503" s="102"/>
      <c r="BG503" s="102"/>
      <c r="BH503" s="102"/>
      <c r="BI503" s="102"/>
      <c r="BJ503" s="102"/>
      <c r="BK503" s="102"/>
      <c r="BL503" s="102"/>
      <c r="BM503" s="102"/>
      <c r="BN503" s="102"/>
      <c r="BO503" s="102"/>
      <c r="BP503" s="102"/>
      <c r="BQ503" s="102"/>
      <c r="BR503" s="102"/>
      <c r="BS503" s="102"/>
      <c r="BT503" s="102"/>
      <c r="BU503" s="102"/>
    </row>
    <row r="504" spans="15:73"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  <c r="AA504" s="102"/>
      <c r="AB504" s="102"/>
      <c r="AC504" s="102"/>
      <c r="AD504" s="102"/>
      <c r="AE504" s="102"/>
      <c r="AF504" s="102"/>
      <c r="AG504" s="102"/>
      <c r="AH504" s="102"/>
      <c r="AI504" s="102"/>
      <c r="AJ504" s="102"/>
      <c r="AK504" s="102"/>
      <c r="AL504" s="102"/>
      <c r="AM504" s="102"/>
      <c r="AN504" s="102"/>
      <c r="AO504" s="102"/>
      <c r="AP504" s="102"/>
      <c r="AQ504" s="102"/>
      <c r="AR504" s="102"/>
      <c r="AS504" s="102"/>
      <c r="AT504" s="102"/>
      <c r="AU504" s="102"/>
      <c r="AV504" s="102"/>
      <c r="AW504" s="102"/>
      <c r="AX504" s="102"/>
      <c r="AY504" s="102"/>
      <c r="AZ504" s="102"/>
      <c r="BA504" s="102"/>
      <c r="BB504" s="102"/>
      <c r="BC504" s="102"/>
      <c r="BD504" s="102"/>
      <c r="BE504" s="102"/>
      <c r="BF504" s="102"/>
      <c r="BG504" s="102"/>
      <c r="BH504" s="102"/>
      <c r="BI504" s="102"/>
      <c r="BJ504" s="102"/>
      <c r="BK504" s="102"/>
      <c r="BL504" s="102"/>
      <c r="BM504" s="102"/>
      <c r="BN504" s="102"/>
      <c r="BO504" s="102"/>
      <c r="BP504" s="102"/>
      <c r="BQ504" s="102"/>
      <c r="BR504" s="102"/>
      <c r="BS504" s="102"/>
      <c r="BT504" s="102"/>
      <c r="BU504" s="102"/>
    </row>
    <row r="505" spans="15:73"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  <c r="AA505" s="102"/>
      <c r="AB505" s="102"/>
      <c r="AC505" s="102"/>
      <c r="AD505" s="102"/>
      <c r="AE505" s="102"/>
      <c r="AF505" s="102"/>
      <c r="AG505" s="102"/>
      <c r="AH505" s="102"/>
      <c r="AI505" s="102"/>
      <c r="AJ505" s="102"/>
      <c r="AK505" s="102"/>
      <c r="AL505" s="102"/>
      <c r="AM505" s="102"/>
      <c r="AN505" s="102"/>
      <c r="AO505" s="102"/>
      <c r="AP505" s="102"/>
      <c r="AQ505" s="102"/>
      <c r="AR505" s="102"/>
      <c r="AS505" s="102"/>
      <c r="AT505" s="102"/>
      <c r="AU505" s="102"/>
      <c r="AV505" s="102"/>
      <c r="AW505" s="102"/>
      <c r="AX505" s="102"/>
      <c r="AY505" s="102"/>
      <c r="AZ505" s="102"/>
      <c r="BA505" s="102"/>
      <c r="BB505" s="102"/>
      <c r="BC505" s="102"/>
      <c r="BD505" s="102"/>
      <c r="BE505" s="102"/>
      <c r="BF505" s="102"/>
      <c r="BG505" s="102"/>
      <c r="BH505" s="102"/>
      <c r="BI505" s="102"/>
      <c r="BJ505" s="102"/>
      <c r="BK505" s="102"/>
      <c r="BL505" s="102"/>
      <c r="BM505" s="102"/>
      <c r="BN505" s="102"/>
      <c r="BO505" s="102"/>
      <c r="BP505" s="102"/>
      <c r="BQ505" s="102"/>
      <c r="BR505" s="102"/>
      <c r="BS505" s="102"/>
      <c r="BT505" s="102"/>
      <c r="BU505" s="102"/>
    </row>
    <row r="506" spans="15:73"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  <c r="AA506" s="102"/>
      <c r="AB506" s="102"/>
      <c r="AC506" s="102"/>
      <c r="AD506" s="102"/>
      <c r="AE506" s="102"/>
      <c r="AF506" s="102"/>
      <c r="AG506" s="102"/>
      <c r="AH506" s="102"/>
      <c r="AI506" s="102"/>
      <c r="AJ506" s="102"/>
      <c r="AK506" s="102"/>
      <c r="AL506" s="102"/>
      <c r="AM506" s="102"/>
      <c r="AN506" s="102"/>
      <c r="AO506" s="102"/>
      <c r="AP506" s="102"/>
      <c r="AQ506" s="102"/>
      <c r="AR506" s="102"/>
      <c r="AS506" s="102"/>
      <c r="AT506" s="102"/>
      <c r="AU506" s="102"/>
      <c r="AV506" s="102"/>
      <c r="AW506" s="102"/>
      <c r="AX506" s="102"/>
      <c r="AY506" s="102"/>
      <c r="AZ506" s="102"/>
      <c r="BA506" s="102"/>
      <c r="BB506" s="102"/>
      <c r="BC506" s="102"/>
      <c r="BD506" s="102"/>
      <c r="BE506" s="102"/>
      <c r="BF506" s="102"/>
      <c r="BG506" s="102"/>
      <c r="BH506" s="102"/>
      <c r="BI506" s="102"/>
      <c r="BJ506" s="102"/>
      <c r="BK506" s="102"/>
      <c r="BL506" s="102"/>
      <c r="BM506" s="102"/>
      <c r="BN506" s="102"/>
      <c r="BO506" s="102"/>
      <c r="BP506" s="102"/>
      <c r="BQ506" s="102"/>
      <c r="BR506" s="102"/>
      <c r="BS506" s="102"/>
      <c r="BT506" s="102"/>
      <c r="BU506" s="102"/>
    </row>
    <row r="507" spans="15:73"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  <c r="AA507" s="102"/>
      <c r="AB507" s="102"/>
      <c r="AC507" s="102"/>
      <c r="AD507" s="102"/>
      <c r="AE507" s="102"/>
      <c r="AF507" s="102"/>
      <c r="AG507" s="102"/>
      <c r="AH507" s="102"/>
      <c r="AI507" s="102"/>
      <c r="AJ507" s="102"/>
      <c r="AK507" s="102"/>
      <c r="AL507" s="102"/>
      <c r="AM507" s="102"/>
      <c r="AN507" s="102"/>
      <c r="AO507" s="102"/>
      <c r="AP507" s="102"/>
      <c r="AQ507" s="102"/>
      <c r="AR507" s="102"/>
      <c r="AS507" s="102"/>
      <c r="AT507" s="102"/>
      <c r="AU507" s="102"/>
      <c r="AV507" s="102"/>
      <c r="AW507" s="102"/>
      <c r="AX507" s="102"/>
      <c r="AY507" s="102"/>
      <c r="AZ507" s="102"/>
      <c r="BA507" s="102"/>
      <c r="BB507" s="102"/>
      <c r="BC507" s="102"/>
      <c r="BD507" s="102"/>
      <c r="BE507" s="102"/>
      <c r="BF507" s="102"/>
      <c r="BG507" s="102"/>
      <c r="BH507" s="102"/>
      <c r="BI507" s="102"/>
      <c r="BJ507" s="102"/>
      <c r="BK507" s="102"/>
      <c r="BL507" s="102"/>
      <c r="BM507" s="102"/>
      <c r="BN507" s="102"/>
      <c r="BO507" s="102"/>
      <c r="BP507" s="102"/>
      <c r="BQ507" s="102"/>
      <c r="BR507" s="102"/>
      <c r="BS507" s="102"/>
      <c r="BT507" s="102"/>
      <c r="BU507" s="102"/>
    </row>
    <row r="508" spans="15:73"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  <c r="AA508" s="102"/>
      <c r="AB508" s="102"/>
      <c r="AC508" s="102"/>
      <c r="AD508" s="102"/>
      <c r="AE508" s="102"/>
      <c r="AF508" s="102"/>
      <c r="AG508" s="102"/>
      <c r="AH508" s="102"/>
      <c r="AI508" s="102"/>
      <c r="AJ508" s="102"/>
      <c r="AK508" s="102"/>
      <c r="AL508" s="102"/>
      <c r="AM508" s="102"/>
      <c r="AN508" s="102"/>
      <c r="AO508" s="102"/>
      <c r="AP508" s="102"/>
      <c r="AQ508" s="102"/>
      <c r="AR508" s="102"/>
      <c r="AS508" s="102"/>
      <c r="AT508" s="102"/>
      <c r="AU508" s="102"/>
      <c r="AV508" s="102"/>
      <c r="AW508" s="102"/>
      <c r="AX508" s="102"/>
      <c r="AY508" s="102"/>
      <c r="AZ508" s="102"/>
      <c r="BA508" s="102"/>
      <c r="BB508" s="102"/>
      <c r="BC508" s="102"/>
      <c r="BD508" s="102"/>
      <c r="BE508" s="102"/>
      <c r="BF508" s="102"/>
      <c r="BG508" s="102"/>
      <c r="BH508" s="102"/>
      <c r="BI508" s="102"/>
      <c r="BJ508" s="102"/>
      <c r="BK508" s="102"/>
      <c r="BL508" s="102"/>
      <c r="BM508" s="102"/>
      <c r="BN508" s="102"/>
      <c r="BO508" s="102"/>
      <c r="BP508" s="102"/>
      <c r="BQ508" s="102"/>
      <c r="BR508" s="102"/>
      <c r="BS508" s="102"/>
      <c r="BT508" s="102"/>
      <c r="BU508" s="102"/>
    </row>
    <row r="509" spans="15:73"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  <c r="AA509" s="102"/>
      <c r="AB509" s="102"/>
      <c r="AC509" s="102"/>
      <c r="AD509" s="102"/>
      <c r="AE509" s="102"/>
      <c r="AF509" s="102"/>
      <c r="AG509" s="102"/>
      <c r="AH509" s="102"/>
      <c r="AI509" s="102"/>
      <c r="AJ509" s="102"/>
      <c r="AK509" s="102"/>
      <c r="AL509" s="102"/>
      <c r="AM509" s="102"/>
      <c r="AN509" s="102"/>
      <c r="AO509" s="102"/>
      <c r="AP509" s="102"/>
      <c r="AQ509" s="102"/>
      <c r="AR509" s="102"/>
      <c r="AS509" s="102"/>
      <c r="AT509" s="102"/>
      <c r="AU509" s="102"/>
      <c r="AV509" s="102"/>
      <c r="AW509" s="102"/>
      <c r="AX509" s="102"/>
      <c r="AY509" s="102"/>
      <c r="AZ509" s="102"/>
      <c r="BA509" s="102"/>
      <c r="BB509" s="102"/>
      <c r="BC509" s="102"/>
      <c r="BD509" s="102"/>
      <c r="BE509" s="102"/>
      <c r="BF509" s="102"/>
      <c r="BG509" s="102"/>
      <c r="BH509" s="102"/>
      <c r="BI509" s="102"/>
      <c r="BJ509" s="102"/>
      <c r="BK509" s="102"/>
      <c r="BL509" s="102"/>
      <c r="BM509" s="102"/>
      <c r="BN509" s="102"/>
      <c r="BO509" s="102"/>
      <c r="BP509" s="102"/>
      <c r="BQ509" s="102"/>
      <c r="BR509" s="102"/>
      <c r="BS509" s="102"/>
      <c r="BT509" s="102"/>
      <c r="BU509" s="102"/>
    </row>
    <row r="510" spans="15:73"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  <c r="AA510" s="102"/>
      <c r="AB510" s="102"/>
      <c r="AC510" s="102"/>
      <c r="AD510" s="102"/>
      <c r="AE510" s="102"/>
      <c r="AF510" s="102"/>
      <c r="AG510" s="102"/>
      <c r="AH510" s="102"/>
      <c r="AI510" s="102"/>
      <c r="AJ510" s="102"/>
      <c r="AK510" s="102"/>
      <c r="AL510" s="102"/>
      <c r="AM510" s="102"/>
      <c r="AN510" s="102"/>
      <c r="AO510" s="102"/>
      <c r="AP510" s="102"/>
      <c r="AQ510" s="102"/>
      <c r="AR510" s="102"/>
      <c r="AS510" s="102"/>
      <c r="AT510" s="102"/>
      <c r="AU510" s="102"/>
      <c r="AV510" s="102"/>
      <c r="AW510" s="102"/>
      <c r="AX510" s="102"/>
      <c r="AY510" s="102"/>
      <c r="AZ510" s="102"/>
      <c r="BA510" s="102"/>
      <c r="BB510" s="102"/>
      <c r="BC510" s="102"/>
      <c r="BD510" s="102"/>
      <c r="BE510" s="102"/>
      <c r="BF510" s="102"/>
      <c r="BG510" s="102"/>
      <c r="BH510" s="102"/>
      <c r="BI510" s="102"/>
      <c r="BJ510" s="102"/>
      <c r="BK510" s="102"/>
      <c r="BL510" s="102"/>
      <c r="BM510" s="102"/>
      <c r="BN510" s="102"/>
      <c r="BO510" s="102"/>
      <c r="BP510" s="102"/>
      <c r="BQ510" s="102"/>
      <c r="BR510" s="102"/>
      <c r="BS510" s="102"/>
      <c r="BT510" s="102"/>
      <c r="BU510" s="102"/>
    </row>
    <row r="511" spans="15:73"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  <c r="AA511" s="102"/>
      <c r="AB511" s="102"/>
      <c r="AC511" s="102"/>
      <c r="AD511" s="102"/>
      <c r="AE511" s="102"/>
      <c r="AF511" s="102"/>
      <c r="AG511" s="102"/>
      <c r="AH511" s="102"/>
      <c r="AI511" s="102"/>
      <c r="AJ511" s="102"/>
      <c r="AK511" s="102"/>
      <c r="AL511" s="102"/>
      <c r="AM511" s="102"/>
      <c r="AN511" s="102"/>
      <c r="AO511" s="102"/>
      <c r="AP511" s="102"/>
      <c r="AQ511" s="102"/>
      <c r="AR511" s="102"/>
      <c r="AS511" s="102"/>
      <c r="AT511" s="102"/>
      <c r="AU511" s="102"/>
      <c r="AV511" s="102"/>
      <c r="AW511" s="102"/>
      <c r="AX511" s="102"/>
      <c r="AY511" s="102"/>
      <c r="AZ511" s="102"/>
      <c r="BA511" s="102"/>
      <c r="BB511" s="102"/>
      <c r="BC511" s="102"/>
      <c r="BD511" s="102"/>
      <c r="BE511" s="102"/>
      <c r="BF511" s="102"/>
      <c r="BG511" s="102"/>
      <c r="BH511" s="102"/>
      <c r="BI511" s="102"/>
      <c r="BJ511" s="102"/>
      <c r="BK511" s="102"/>
      <c r="BL511" s="102"/>
      <c r="BM511" s="102"/>
      <c r="BN511" s="102"/>
      <c r="BO511" s="102"/>
      <c r="BP511" s="102"/>
      <c r="BQ511" s="102"/>
      <c r="BR511" s="102"/>
      <c r="BS511" s="102"/>
      <c r="BT511" s="102"/>
      <c r="BU511" s="102"/>
    </row>
    <row r="512" spans="15:73"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  <c r="AA512" s="102"/>
      <c r="AB512" s="102"/>
      <c r="AC512" s="102"/>
      <c r="AD512" s="102"/>
      <c r="AE512" s="102"/>
      <c r="AF512" s="102"/>
      <c r="AG512" s="102"/>
      <c r="AH512" s="102"/>
      <c r="AI512" s="102"/>
      <c r="AJ512" s="102"/>
      <c r="AK512" s="102"/>
      <c r="AL512" s="102"/>
      <c r="AM512" s="102"/>
      <c r="AN512" s="102"/>
      <c r="AO512" s="102"/>
      <c r="AP512" s="102"/>
      <c r="AQ512" s="102"/>
      <c r="AR512" s="102"/>
      <c r="AS512" s="102"/>
      <c r="AT512" s="102"/>
      <c r="AU512" s="102"/>
      <c r="AV512" s="102"/>
      <c r="AW512" s="102"/>
      <c r="AX512" s="102"/>
      <c r="AY512" s="102"/>
      <c r="AZ512" s="102"/>
      <c r="BA512" s="102"/>
      <c r="BB512" s="102"/>
      <c r="BC512" s="102"/>
      <c r="BD512" s="102"/>
      <c r="BE512" s="102"/>
      <c r="BF512" s="102"/>
      <c r="BG512" s="102"/>
      <c r="BH512" s="102"/>
      <c r="BI512" s="102"/>
      <c r="BJ512" s="102"/>
      <c r="BK512" s="102"/>
      <c r="BL512" s="102"/>
      <c r="BM512" s="102"/>
      <c r="BN512" s="102"/>
      <c r="BO512" s="102"/>
      <c r="BP512" s="102"/>
      <c r="BQ512" s="102"/>
      <c r="BR512" s="102"/>
      <c r="BS512" s="102"/>
      <c r="BT512" s="102"/>
      <c r="BU512" s="102"/>
    </row>
    <row r="513" spans="15:73"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  <c r="AA513" s="102"/>
      <c r="AB513" s="102"/>
      <c r="AC513" s="102"/>
      <c r="AD513" s="102"/>
      <c r="AE513" s="102"/>
      <c r="AF513" s="102"/>
      <c r="AG513" s="102"/>
      <c r="AH513" s="102"/>
      <c r="AI513" s="102"/>
      <c r="AJ513" s="102"/>
      <c r="AK513" s="102"/>
      <c r="AL513" s="102"/>
      <c r="AM513" s="102"/>
      <c r="AN513" s="102"/>
      <c r="AO513" s="102"/>
      <c r="AP513" s="102"/>
      <c r="AQ513" s="102"/>
      <c r="AR513" s="102"/>
      <c r="AS513" s="102"/>
      <c r="AT513" s="102"/>
      <c r="AU513" s="102"/>
      <c r="AV513" s="102"/>
      <c r="AW513" s="102"/>
      <c r="AX513" s="102"/>
      <c r="AY513" s="102"/>
      <c r="AZ513" s="102"/>
      <c r="BA513" s="102"/>
      <c r="BB513" s="102"/>
      <c r="BC513" s="102"/>
      <c r="BD513" s="102"/>
      <c r="BE513" s="102"/>
      <c r="BF513" s="102"/>
      <c r="BG513" s="102"/>
      <c r="BH513" s="102"/>
      <c r="BI513" s="102"/>
      <c r="BJ513" s="102"/>
      <c r="BK513" s="102"/>
      <c r="BL513" s="102"/>
      <c r="BM513" s="102"/>
      <c r="BN513" s="102"/>
      <c r="BO513" s="102"/>
      <c r="BP513" s="102"/>
      <c r="BQ513" s="102"/>
      <c r="BR513" s="102"/>
      <c r="BS513" s="102"/>
      <c r="BT513" s="102"/>
      <c r="BU513" s="102"/>
    </row>
    <row r="514" spans="15:73"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  <c r="AA514" s="102"/>
      <c r="AB514" s="102"/>
      <c r="AC514" s="102"/>
      <c r="AD514" s="102"/>
      <c r="AE514" s="102"/>
      <c r="AF514" s="102"/>
      <c r="AG514" s="102"/>
      <c r="AH514" s="102"/>
      <c r="AI514" s="102"/>
      <c r="AJ514" s="102"/>
      <c r="AK514" s="102"/>
      <c r="AL514" s="102"/>
      <c r="AM514" s="102"/>
      <c r="AN514" s="102"/>
      <c r="AO514" s="102"/>
      <c r="AP514" s="102"/>
      <c r="AQ514" s="102"/>
      <c r="AR514" s="102"/>
      <c r="AS514" s="102"/>
      <c r="AT514" s="102"/>
      <c r="AU514" s="102"/>
      <c r="AV514" s="102"/>
      <c r="AW514" s="102"/>
      <c r="AX514" s="102"/>
      <c r="AY514" s="102"/>
      <c r="AZ514" s="102"/>
      <c r="BA514" s="102"/>
      <c r="BB514" s="102"/>
      <c r="BC514" s="102"/>
      <c r="BD514" s="102"/>
      <c r="BE514" s="102"/>
      <c r="BF514" s="102"/>
      <c r="BG514" s="102"/>
      <c r="BH514" s="102"/>
      <c r="BI514" s="102"/>
      <c r="BJ514" s="102"/>
      <c r="BK514" s="102"/>
      <c r="BL514" s="102"/>
      <c r="BM514" s="102"/>
      <c r="BN514" s="102"/>
      <c r="BO514" s="102"/>
      <c r="BP514" s="102"/>
      <c r="BQ514" s="102"/>
      <c r="BR514" s="102"/>
      <c r="BS514" s="102"/>
      <c r="BT514" s="102"/>
      <c r="BU514" s="102"/>
    </row>
    <row r="515" spans="15:73"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  <c r="AA515" s="102"/>
      <c r="AB515" s="102"/>
      <c r="AC515" s="102"/>
      <c r="AD515" s="102"/>
      <c r="AE515" s="102"/>
      <c r="AF515" s="102"/>
      <c r="AG515" s="102"/>
      <c r="AH515" s="102"/>
      <c r="AI515" s="102"/>
      <c r="AJ515" s="102"/>
      <c r="AK515" s="102"/>
      <c r="AL515" s="102"/>
      <c r="AM515" s="102"/>
      <c r="AN515" s="102"/>
      <c r="AO515" s="102"/>
      <c r="AP515" s="102"/>
      <c r="AQ515" s="102"/>
      <c r="AR515" s="102"/>
      <c r="AS515" s="102"/>
      <c r="AT515" s="102"/>
      <c r="AU515" s="102"/>
      <c r="AV515" s="102"/>
      <c r="AW515" s="102"/>
      <c r="AX515" s="102"/>
      <c r="AY515" s="102"/>
      <c r="AZ515" s="102"/>
      <c r="BA515" s="102"/>
      <c r="BB515" s="102"/>
      <c r="BC515" s="102"/>
      <c r="BD515" s="102"/>
      <c r="BE515" s="102"/>
      <c r="BF515" s="102"/>
      <c r="BG515" s="102"/>
      <c r="BH515" s="102"/>
      <c r="BI515" s="102"/>
      <c r="BJ515" s="102"/>
      <c r="BK515" s="102"/>
      <c r="BL515" s="102"/>
      <c r="BM515" s="102"/>
      <c r="BN515" s="102"/>
      <c r="BO515" s="102"/>
      <c r="BP515" s="102"/>
      <c r="BQ515" s="102"/>
      <c r="BR515" s="102"/>
      <c r="BS515" s="102"/>
      <c r="BT515" s="102"/>
      <c r="BU515" s="102"/>
    </row>
    <row r="516" spans="15:73"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  <c r="AA516" s="102"/>
      <c r="AB516" s="102"/>
      <c r="AC516" s="102"/>
      <c r="AD516" s="102"/>
      <c r="AE516" s="102"/>
      <c r="AF516" s="102"/>
      <c r="AG516" s="102"/>
      <c r="AH516" s="102"/>
      <c r="AI516" s="102"/>
      <c r="AJ516" s="102"/>
      <c r="AK516" s="102"/>
      <c r="AL516" s="102"/>
      <c r="AM516" s="102"/>
      <c r="AN516" s="102"/>
      <c r="AO516" s="102"/>
      <c r="AP516" s="102"/>
      <c r="AQ516" s="102"/>
      <c r="AR516" s="102"/>
      <c r="AS516" s="102"/>
      <c r="AT516" s="102"/>
      <c r="AU516" s="102"/>
      <c r="AV516" s="102"/>
      <c r="AW516" s="102"/>
      <c r="AX516" s="102"/>
      <c r="AY516" s="102"/>
      <c r="AZ516" s="102"/>
      <c r="BA516" s="102"/>
      <c r="BB516" s="102"/>
      <c r="BC516" s="102"/>
      <c r="BD516" s="102"/>
      <c r="BE516" s="102"/>
      <c r="BF516" s="102"/>
      <c r="BG516" s="102"/>
      <c r="BH516" s="102"/>
      <c r="BI516" s="102"/>
      <c r="BJ516" s="102"/>
      <c r="BK516" s="102"/>
      <c r="BL516" s="102"/>
      <c r="BM516" s="102"/>
      <c r="BN516" s="102"/>
      <c r="BO516" s="102"/>
      <c r="BP516" s="102"/>
      <c r="BQ516" s="102"/>
      <c r="BR516" s="102"/>
      <c r="BS516" s="102"/>
      <c r="BT516" s="102"/>
      <c r="BU516" s="102"/>
    </row>
    <row r="517" spans="15:73"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  <c r="AA517" s="102"/>
      <c r="AB517" s="102"/>
      <c r="AC517" s="102"/>
      <c r="AD517" s="102"/>
      <c r="AE517" s="102"/>
      <c r="AF517" s="102"/>
      <c r="AG517" s="102"/>
      <c r="AH517" s="102"/>
      <c r="AI517" s="102"/>
      <c r="AJ517" s="102"/>
      <c r="AK517" s="102"/>
      <c r="AL517" s="102"/>
      <c r="AM517" s="102"/>
      <c r="AN517" s="102"/>
      <c r="AO517" s="102"/>
      <c r="AP517" s="102"/>
      <c r="AQ517" s="102"/>
      <c r="AR517" s="102"/>
      <c r="AS517" s="102"/>
      <c r="AT517" s="102"/>
      <c r="AU517" s="102"/>
      <c r="AV517" s="102"/>
      <c r="AW517" s="102"/>
      <c r="AX517" s="102"/>
      <c r="AY517" s="102"/>
      <c r="AZ517" s="102"/>
      <c r="BA517" s="102"/>
      <c r="BB517" s="102"/>
      <c r="BC517" s="102"/>
      <c r="BD517" s="102"/>
      <c r="BE517" s="102"/>
      <c r="BF517" s="102"/>
      <c r="BG517" s="102"/>
      <c r="BH517" s="102"/>
      <c r="BI517" s="102"/>
      <c r="BJ517" s="102"/>
      <c r="BK517" s="102"/>
      <c r="BL517" s="102"/>
      <c r="BM517" s="102"/>
      <c r="BN517" s="102"/>
      <c r="BO517" s="102"/>
      <c r="BP517" s="102"/>
      <c r="BQ517" s="102"/>
      <c r="BR517" s="102"/>
      <c r="BS517" s="102"/>
      <c r="BT517" s="102"/>
      <c r="BU517" s="102"/>
    </row>
    <row r="518" spans="15:73"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  <c r="AA518" s="102"/>
      <c r="AB518" s="102"/>
      <c r="AC518" s="102"/>
      <c r="AD518" s="102"/>
      <c r="AE518" s="102"/>
      <c r="AF518" s="102"/>
      <c r="AG518" s="102"/>
      <c r="AH518" s="102"/>
      <c r="AI518" s="102"/>
      <c r="AJ518" s="102"/>
      <c r="AK518" s="102"/>
      <c r="AL518" s="102"/>
      <c r="AM518" s="102"/>
      <c r="AN518" s="102"/>
      <c r="AO518" s="102"/>
      <c r="AP518" s="102"/>
      <c r="AQ518" s="102"/>
      <c r="AR518" s="102"/>
      <c r="AS518" s="102"/>
      <c r="AT518" s="102"/>
      <c r="AU518" s="102"/>
      <c r="AV518" s="102"/>
      <c r="AW518" s="102"/>
      <c r="AX518" s="102"/>
      <c r="AY518" s="102"/>
      <c r="AZ518" s="102"/>
      <c r="BA518" s="102"/>
      <c r="BB518" s="102"/>
      <c r="BC518" s="102"/>
      <c r="BD518" s="102"/>
      <c r="BE518" s="102"/>
      <c r="BF518" s="102"/>
      <c r="BG518" s="102"/>
      <c r="BH518" s="102"/>
      <c r="BI518" s="102"/>
      <c r="BJ518" s="102"/>
      <c r="BK518" s="102"/>
      <c r="BL518" s="102"/>
      <c r="BM518" s="102"/>
      <c r="BN518" s="102"/>
      <c r="BO518" s="102"/>
      <c r="BP518" s="102"/>
      <c r="BQ518" s="102"/>
      <c r="BR518" s="102"/>
      <c r="BS518" s="102"/>
      <c r="BT518" s="102"/>
      <c r="BU518" s="102"/>
    </row>
    <row r="519" spans="15:73"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  <c r="AA519" s="102"/>
      <c r="AB519" s="102"/>
      <c r="AC519" s="102"/>
      <c r="AD519" s="102"/>
      <c r="AE519" s="102"/>
      <c r="AF519" s="102"/>
      <c r="AG519" s="102"/>
      <c r="AH519" s="102"/>
      <c r="AI519" s="102"/>
      <c r="AJ519" s="102"/>
      <c r="AK519" s="102"/>
      <c r="AL519" s="102"/>
      <c r="AM519" s="102"/>
      <c r="AN519" s="102"/>
      <c r="AO519" s="102"/>
      <c r="AP519" s="102"/>
      <c r="AQ519" s="102"/>
      <c r="AR519" s="102"/>
      <c r="AS519" s="102"/>
      <c r="AT519" s="102"/>
      <c r="AU519" s="102"/>
      <c r="AV519" s="102"/>
      <c r="AW519" s="102"/>
      <c r="AX519" s="102"/>
      <c r="AY519" s="102"/>
      <c r="AZ519" s="102"/>
      <c r="BA519" s="102"/>
      <c r="BB519" s="102"/>
      <c r="BC519" s="102"/>
      <c r="BD519" s="102"/>
      <c r="BE519" s="102"/>
      <c r="BF519" s="102"/>
      <c r="BG519" s="102"/>
      <c r="BH519" s="102"/>
      <c r="BI519" s="102"/>
      <c r="BJ519" s="102"/>
      <c r="BK519" s="102"/>
      <c r="BL519" s="102"/>
      <c r="BM519" s="102"/>
      <c r="BN519" s="102"/>
      <c r="BO519" s="102"/>
      <c r="BP519" s="102"/>
      <c r="BQ519" s="102"/>
      <c r="BR519" s="102"/>
      <c r="BS519" s="102"/>
      <c r="BT519" s="102"/>
      <c r="BU519" s="102"/>
    </row>
    <row r="520" spans="15:73"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  <c r="AA520" s="102"/>
      <c r="AB520" s="102"/>
      <c r="AC520" s="102"/>
      <c r="AD520" s="102"/>
      <c r="AE520" s="102"/>
      <c r="AF520" s="102"/>
      <c r="AG520" s="102"/>
      <c r="AH520" s="102"/>
      <c r="AI520" s="102"/>
      <c r="AJ520" s="102"/>
      <c r="AK520" s="102"/>
      <c r="AL520" s="102"/>
      <c r="AM520" s="102"/>
      <c r="AN520" s="102"/>
      <c r="AO520" s="102"/>
      <c r="AP520" s="102"/>
      <c r="AQ520" s="102"/>
      <c r="AR520" s="102"/>
      <c r="AS520" s="102"/>
      <c r="AT520" s="102"/>
      <c r="AU520" s="102"/>
      <c r="AV520" s="102"/>
      <c r="AW520" s="102"/>
      <c r="AX520" s="102"/>
      <c r="AY520" s="102"/>
      <c r="AZ520" s="102"/>
      <c r="BA520" s="102"/>
      <c r="BB520" s="102"/>
      <c r="BC520" s="102"/>
      <c r="BD520" s="102"/>
      <c r="BE520" s="102"/>
      <c r="BF520" s="102"/>
      <c r="BG520" s="102"/>
      <c r="BH520" s="102"/>
      <c r="BI520" s="102"/>
      <c r="BJ520" s="102"/>
      <c r="BK520" s="102"/>
      <c r="BL520" s="102"/>
      <c r="BM520" s="102"/>
      <c r="BN520" s="102"/>
      <c r="BO520" s="102"/>
      <c r="BP520" s="102"/>
      <c r="BQ520" s="102"/>
      <c r="BR520" s="102"/>
      <c r="BS520" s="102"/>
      <c r="BT520" s="102"/>
      <c r="BU520" s="102"/>
    </row>
    <row r="521" spans="15:73"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  <c r="Z521" s="102"/>
      <c r="AA521" s="102"/>
      <c r="AB521" s="102"/>
      <c r="AC521" s="102"/>
      <c r="AD521" s="102"/>
      <c r="AE521" s="102"/>
      <c r="AF521" s="102"/>
      <c r="AG521" s="102"/>
      <c r="AH521" s="102"/>
      <c r="AI521" s="102"/>
      <c r="AJ521" s="102"/>
      <c r="AK521" s="102"/>
      <c r="AL521" s="102"/>
      <c r="AM521" s="102"/>
      <c r="AN521" s="102"/>
      <c r="AO521" s="102"/>
      <c r="AP521" s="102"/>
      <c r="AQ521" s="102"/>
      <c r="AR521" s="102"/>
      <c r="AS521" s="102"/>
      <c r="AT521" s="102"/>
      <c r="AU521" s="102"/>
      <c r="AV521" s="102"/>
      <c r="AW521" s="102"/>
      <c r="AX521" s="102"/>
      <c r="AY521" s="102"/>
      <c r="AZ521" s="102"/>
      <c r="BA521" s="102"/>
      <c r="BB521" s="102"/>
      <c r="BC521" s="102"/>
      <c r="BD521" s="102"/>
      <c r="BE521" s="102"/>
      <c r="BF521" s="102"/>
      <c r="BG521" s="102"/>
      <c r="BH521" s="102"/>
      <c r="BI521" s="102"/>
      <c r="BJ521" s="102"/>
      <c r="BK521" s="102"/>
      <c r="BL521" s="102"/>
      <c r="BM521" s="102"/>
      <c r="BN521" s="102"/>
      <c r="BO521" s="102"/>
      <c r="BP521" s="102"/>
      <c r="BQ521" s="102"/>
      <c r="BR521" s="102"/>
      <c r="BS521" s="102"/>
      <c r="BT521" s="102"/>
      <c r="BU521" s="102"/>
    </row>
    <row r="522" spans="15:73"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  <c r="Z522" s="102"/>
      <c r="AA522" s="102"/>
      <c r="AB522" s="102"/>
      <c r="AC522" s="102"/>
      <c r="AD522" s="102"/>
      <c r="AE522" s="102"/>
      <c r="AF522" s="102"/>
      <c r="AG522" s="102"/>
      <c r="AH522" s="102"/>
      <c r="AI522" s="102"/>
      <c r="AJ522" s="102"/>
      <c r="AK522" s="102"/>
      <c r="AL522" s="102"/>
      <c r="AM522" s="102"/>
      <c r="AN522" s="102"/>
      <c r="AO522" s="102"/>
      <c r="AP522" s="102"/>
      <c r="AQ522" s="102"/>
      <c r="AR522" s="102"/>
      <c r="AS522" s="102"/>
      <c r="AT522" s="102"/>
      <c r="AU522" s="102"/>
      <c r="AV522" s="102"/>
      <c r="AW522" s="102"/>
      <c r="AX522" s="102"/>
      <c r="AY522" s="102"/>
      <c r="AZ522" s="102"/>
      <c r="BA522" s="102"/>
      <c r="BB522" s="102"/>
      <c r="BC522" s="102"/>
      <c r="BD522" s="102"/>
      <c r="BE522" s="102"/>
      <c r="BF522" s="102"/>
      <c r="BG522" s="102"/>
      <c r="BH522" s="102"/>
      <c r="BI522" s="102"/>
      <c r="BJ522" s="102"/>
      <c r="BK522" s="102"/>
      <c r="BL522" s="102"/>
      <c r="BM522" s="102"/>
      <c r="BN522" s="102"/>
      <c r="BO522" s="102"/>
      <c r="BP522" s="102"/>
      <c r="BQ522" s="102"/>
      <c r="BR522" s="102"/>
      <c r="BS522" s="102"/>
      <c r="BT522" s="102"/>
      <c r="BU522" s="102"/>
    </row>
    <row r="523" spans="15:73"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  <c r="AA523" s="102"/>
      <c r="AB523" s="102"/>
      <c r="AC523" s="102"/>
      <c r="AD523" s="102"/>
      <c r="AE523" s="102"/>
      <c r="AF523" s="102"/>
      <c r="AG523" s="102"/>
      <c r="AH523" s="102"/>
      <c r="AI523" s="102"/>
      <c r="AJ523" s="102"/>
      <c r="AK523" s="102"/>
      <c r="AL523" s="102"/>
      <c r="AM523" s="102"/>
      <c r="AN523" s="102"/>
      <c r="AO523" s="102"/>
      <c r="AP523" s="102"/>
      <c r="AQ523" s="102"/>
      <c r="AR523" s="102"/>
      <c r="AS523" s="102"/>
      <c r="AT523" s="102"/>
      <c r="AU523" s="102"/>
      <c r="AV523" s="102"/>
      <c r="AW523" s="102"/>
      <c r="AX523" s="102"/>
      <c r="AY523" s="102"/>
      <c r="AZ523" s="102"/>
      <c r="BA523" s="102"/>
      <c r="BB523" s="102"/>
      <c r="BC523" s="102"/>
      <c r="BD523" s="102"/>
      <c r="BE523" s="102"/>
      <c r="BF523" s="102"/>
      <c r="BG523" s="102"/>
      <c r="BH523" s="102"/>
      <c r="BI523" s="102"/>
      <c r="BJ523" s="102"/>
      <c r="BK523" s="102"/>
      <c r="BL523" s="102"/>
      <c r="BM523" s="102"/>
      <c r="BN523" s="102"/>
      <c r="BO523" s="102"/>
      <c r="BP523" s="102"/>
      <c r="BQ523" s="102"/>
      <c r="BR523" s="102"/>
      <c r="BS523" s="102"/>
      <c r="BT523" s="102"/>
      <c r="BU523" s="102"/>
    </row>
    <row r="524" spans="15:73"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  <c r="AA524" s="102"/>
      <c r="AB524" s="102"/>
      <c r="AC524" s="102"/>
      <c r="AD524" s="102"/>
      <c r="AE524" s="102"/>
      <c r="AF524" s="102"/>
      <c r="AG524" s="102"/>
      <c r="AH524" s="102"/>
      <c r="AI524" s="102"/>
      <c r="AJ524" s="102"/>
      <c r="AK524" s="102"/>
      <c r="AL524" s="102"/>
      <c r="AM524" s="102"/>
      <c r="AN524" s="102"/>
      <c r="AO524" s="102"/>
      <c r="AP524" s="102"/>
      <c r="AQ524" s="102"/>
      <c r="AR524" s="102"/>
      <c r="AS524" s="102"/>
      <c r="AT524" s="102"/>
      <c r="AU524" s="102"/>
      <c r="AV524" s="102"/>
      <c r="AW524" s="102"/>
      <c r="AX524" s="102"/>
      <c r="AY524" s="102"/>
      <c r="AZ524" s="102"/>
      <c r="BA524" s="102"/>
      <c r="BB524" s="102"/>
      <c r="BC524" s="102"/>
      <c r="BD524" s="102"/>
      <c r="BE524" s="102"/>
      <c r="BF524" s="102"/>
      <c r="BG524" s="102"/>
      <c r="BH524" s="102"/>
      <c r="BI524" s="102"/>
      <c r="BJ524" s="102"/>
      <c r="BK524" s="102"/>
      <c r="BL524" s="102"/>
      <c r="BM524" s="102"/>
      <c r="BN524" s="102"/>
      <c r="BO524" s="102"/>
      <c r="BP524" s="102"/>
      <c r="BQ524" s="102"/>
      <c r="BR524" s="102"/>
      <c r="BS524" s="102"/>
      <c r="BT524" s="102"/>
      <c r="BU524" s="102"/>
    </row>
    <row r="525" spans="15:73"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  <c r="Z525" s="102"/>
      <c r="AA525" s="102"/>
      <c r="AB525" s="102"/>
      <c r="AC525" s="102"/>
      <c r="AD525" s="102"/>
      <c r="AE525" s="102"/>
      <c r="AF525" s="102"/>
      <c r="AG525" s="102"/>
      <c r="AH525" s="102"/>
      <c r="AI525" s="102"/>
      <c r="AJ525" s="102"/>
      <c r="AK525" s="102"/>
      <c r="AL525" s="102"/>
      <c r="AM525" s="102"/>
      <c r="AN525" s="102"/>
      <c r="AO525" s="102"/>
      <c r="AP525" s="102"/>
      <c r="AQ525" s="102"/>
      <c r="AR525" s="102"/>
      <c r="AS525" s="102"/>
      <c r="AT525" s="102"/>
      <c r="AU525" s="102"/>
      <c r="AV525" s="102"/>
      <c r="AW525" s="102"/>
      <c r="AX525" s="102"/>
      <c r="AY525" s="102"/>
      <c r="AZ525" s="102"/>
      <c r="BA525" s="102"/>
      <c r="BB525" s="102"/>
      <c r="BC525" s="102"/>
      <c r="BD525" s="102"/>
      <c r="BE525" s="102"/>
      <c r="BF525" s="102"/>
      <c r="BG525" s="102"/>
      <c r="BH525" s="102"/>
      <c r="BI525" s="102"/>
      <c r="BJ525" s="102"/>
      <c r="BK525" s="102"/>
      <c r="BL525" s="102"/>
      <c r="BM525" s="102"/>
      <c r="BN525" s="102"/>
      <c r="BO525" s="102"/>
      <c r="BP525" s="102"/>
      <c r="BQ525" s="102"/>
      <c r="BR525" s="102"/>
      <c r="BS525" s="102"/>
      <c r="BT525" s="102"/>
      <c r="BU525" s="102"/>
    </row>
    <row r="526" spans="15:73"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  <c r="AA526" s="102"/>
      <c r="AB526" s="102"/>
      <c r="AC526" s="102"/>
      <c r="AD526" s="102"/>
      <c r="AE526" s="102"/>
      <c r="AF526" s="102"/>
      <c r="AG526" s="102"/>
      <c r="AH526" s="102"/>
      <c r="AI526" s="102"/>
      <c r="AJ526" s="102"/>
      <c r="AK526" s="102"/>
      <c r="AL526" s="102"/>
      <c r="AM526" s="102"/>
      <c r="AN526" s="102"/>
      <c r="AO526" s="102"/>
      <c r="AP526" s="102"/>
      <c r="AQ526" s="102"/>
      <c r="AR526" s="102"/>
      <c r="AS526" s="102"/>
      <c r="AT526" s="102"/>
      <c r="AU526" s="102"/>
      <c r="AV526" s="102"/>
      <c r="AW526" s="102"/>
      <c r="AX526" s="102"/>
      <c r="AY526" s="102"/>
      <c r="AZ526" s="102"/>
      <c r="BA526" s="102"/>
      <c r="BB526" s="102"/>
      <c r="BC526" s="102"/>
      <c r="BD526" s="102"/>
      <c r="BE526" s="102"/>
      <c r="BF526" s="102"/>
      <c r="BG526" s="102"/>
      <c r="BH526" s="102"/>
      <c r="BI526" s="102"/>
      <c r="BJ526" s="102"/>
      <c r="BK526" s="102"/>
      <c r="BL526" s="102"/>
      <c r="BM526" s="102"/>
      <c r="BN526" s="102"/>
      <c r="BO526" s="102"/>
      <c r="BP526" s="102"/>
      <c r="BQ526" s="102"/>
      <c r="BR526" s="102"/>
      <c r="BS526" s="102"/>
      <c r="BT526" s="102"/>
      <c r="BU526" s="102"/>
    </row>
    <row r="527" spans="15:73"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  <c r="AA527" s="102"/>
      <c r="AB527" s="102"/>
      <c r="AC527" s="102"/>
      <c r="AD527" s="102"/>
      <c r="AE527" s="102"/>
      <c r="AF527" s="102"/>
      <c r="AG527" s="102"/>
      <c r="AH527" s="102"/>
      <c r="AI527" s="102"/>
      <c r="AJ527" s="102"/>
      <c r="AK527" s="102"/>
      <c r="AL527" s="102"/>
      <c r="AM527" s="102"/>
      <c r="AN527" s="102"/>
      <c r="AO527" s="102"/>
      <c r="AP527" s="102"/>
      <c r="AQ527" s="102"/>
      <c r="AR527" s="102"/>
      <c r="AS527" s="102"/>
      <c r="AT527" s="102"/>
      <c r="AU527" s="102"/>
      <c r="AV527" s="102"/>
      <c r="AW527" s="102"/>
      <c r="AX527" s="102"/>
      <c r="AY527" s="102"/>
      <c r="AZ527" s="102"/>
      <c r="BA527" s="102"/>
      <c r="BB527" s="102"/>
      <c r="BC527" s="102"/>
      <c r="BD527" s="102"/>
      <c r="BE527" s="102"/>
      <c r="BF527" s="102"/>
      <c r="BG527" s="102"/>
      <c r="BH527" s="102"/>
      <c r="BI527" s="102"/>
      <c r="BJ527" s="102"/>
      <c r="BK527" s="102"/>
      <c r="BL527" s="102"/>
      <c r="BM527" s="102"/>
      <c r="BN527" s="102"/>
      <c r="BO527" s="102"/>
      <c r="BP527" s="102"/>
      <c r="BQ527" s="102"/>
      <c r="BR527" s="102"/>
      <c r="BS527" s="102"/>
      <c r="BT527" s="102"/>
      <c r="BU527" s="102"/>
    </row>
    <row r="528" spans="15:73"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  <c r="AA528" s="102"/>
      <c r="AB528" s="102"/>
      <c r="AC528" s="102"/>
      <c r="AD528" s="102"/>
      <c r="AE528" s="102"/>
      <c r="AF528" s="102"/>
      <c r="AG528" s="102"/>
      <c r="AH528" s="102"/>
      <c r="AI528" s="102"/>
      <c r="AJ528" s="102"/>
      <c r="AK528" s="102"/>
      <c r="AL528" s="102"/>
      <c r="AM528" s="102"/>
      <c r="AN528" s="102"/>
      <c r="AO528" s="102"/>
      <c r="AP528" s="102"/>
      <c r="AQ528" s="102"/>
      <c r="AR528" s="102"/>
      <c r="AS528" s="102"/>
      <c r="AT528" s="102"/>
      <c r="AU528" s="102"/>
      <c r="AV528" s="102"/>
      <c r="AW528" s="102"/>
      <c r="AX528" s="102"/>
      <c r="AY528" s="102"/>
      <c r="AZ528" s="102"/>
      <c r="BA528" s="102"/>
      <c r="BB528" s="102"/>
      <c r="BC528" s="102"/>
      <c r="BD528" s="102"/>
      <c r="BE528" s="102"/>
      <c r="BF528" s="102"/>
      <c r="BG528" s="102"/>
      <c r="BH528" s="102"/>
      <c r="BI528" s="102"/>
      <c r="BJ528" s="102"/>
      <c r="BK528" s="102"/>
      <c r="BL528" s="102"/>
      <c r="BM528" s="102"/>
      <c r="BN528" s="102"/>
      <c r="BO528" s="102"/>
      <c r="BP528" s="102"/>
      <c r="BQ528" s="102"/>
      <c r="BR528" s="102"/>
      <c r="BS528" s="102"/>
      <c r="BT528" s="102"/>
      <c r="BU528" s="102"/>
    </row>
    <row r="529" spans="15:73"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  <c r="AA529" s="102"/>
      <c r="AB529" s="102"/>
      <c r="AC529" s="102"/>
      <c r="AD529" s="102"/>
      <c r="AE529" s="102"/>
      <c r="AF529" s="102"/>
      <c r="AG529" s="102"/>
      <c r="AH529" s="102"/>
      <c r="AI529" s="102"/>
      <c r="AJ529" s="102"/>
      <c r="AK529" s="102"/>
      <c r="AL529" s="102"/>
      <c r="AM529" s="102"/>
      <c r="AN529" s="102"/>
      <c r="AO529" s="102"/>
      <c r="AP529" s="102"/>
      <c r="AQ529" s="102"/>
      <c r="AR529" s="102"/>
      <c r="AS529" s="102"/>
      <c r="AT529" s="102"/>
      <c r="AU529" s="102"/>
      <c r="AV529" s="102"/>
      <c r="AW529" s="102"/>
      <c r="AX529" s="102"/>
      <c r="AY529" s="102"/>
      <c r="AZ529" s="102"/>
      <c r="BA529" s="102"/>
      <c r="BB529" s="102"/>
      <c r="BC529" s="102"/>
      <c r="BD529" s="102"/>
      <c r="BE529" s="102"/>
      <c r="BF529" s="102"/>
      <c r="BG529" s="102"/>
      <c r="BH529" s="102"/>
      <c r="BI529" s="102"/>
      <c r="BJ529" s="102"/>
      <c r="BK529" s="102"/>
      <c r="BL529" s="102"/>
      <c r="BM529" s="102"/>
      <c r="BN529" s="102"/>
      <c r="BO529" s="102"/>
      <c r="BP529" s="102"/>
      <c r="BQ529" s="102"/>
      <c r="BR529" s="102"/>
      <c r="BS529" s="102"/>
      <c r="BT529" s="102"/>
      <c r="BU529" s="102"/>
    </row>
    <row r="530" spans="15:73"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  <c r="AA530" s="102"/>
      <c r="AB530" s="102"/>
      <c r="AC530" s="102"/>
      <c r="AD530" s="102"/>
      <c r="AE530" s="102"/>
      <c r="AF530" s="102"/>
      <c r="AG530" s="102"/>
      <c r="AH530" s="102"/>
      <c r="AI530" s="102"/>
      <c r="AJ530" s="102"/>
      <c r="AK530" s="102"/>
      <c r="AL530" s="102"/>
      <c r="AM530" s="102"/>
      <c r="AN530" s="102"/>
      <c r="AO530" s="102"/>
      <c r="AP530" s="102"/>
      <c r="AQ530" s="102"/>
      <c r="AR530" s="102"/>
      <c r="AS530" s="102"/>
      <c r="AT530" s="102"/>
      <c r="AU530" s="102"/>
      <c r="AV530" s="102"/>
      <c r="AW530" s="102"/>
      <c r="AX530" s="102"/>
      <c r="AY530" s="102"/>
      <c r="AZ530" s="102"/>
      <c r="BA530" s="102"/>
      <c r="BB530" s="102"/>
      <c r="BC530" s="102"/>
      <c r="BD530" s="102"/>
      <c r="BE530" s="102"/>
      <c r="BF530" s="102"/>
      <c r="BG530" s="102"/>
      <c r="BH530" s="102"/>
      <c r="BI530" s="102"/>
      <c r="BJ530" s="102"/>
      <c r="BK530" s="102"/>
      <c r="BL530" s="102"/>
      <c r="BM530" s="102"/>
      <c r="BN530" s="102"/>
      <c r="BO530" s="102"/>
      <c r="BP530" s="102"/>
      <c r="BQ530" s="102"/>
      <c r="BR530" s="102"/>
      <c r="BS530" s="102"/>
      <c r="BT530" s="102"/>
      <c r="BU530" s="102"/>
    </row>
    <row r="531" spans="15:73"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  <c r="AA531" s="102"/>
      <c r="AB531" s="102"/>
      <c r="AC531" s="102"/>
      <c r="AD531" s="102"/>
      <c r="AE531" s="102"/>
      <c r="AF531" s="102"/>
      <c r="AG531" s="102"/>
      <c r="AH531" s="102"/>
      <c r="AI531" s="102"/>
      <c r="AJ531" s="102"/>
      <c r="AK531" s="102"/>
      <c r="AL531" s="102"/>
      <c r="AM531" s="102"/>
      <c r="AN531" s="102"/>
      <c r="AO531" s="102"/>
      <c r="AP531" s="102"/>
      <c r="AQ531" s="102"/>
      <c r="AR531" s="102"/>
      <c r="AS531" s="102"/>
      <c r="AT531" s="102"/>
      <c r="AU531" s="102"/>
      <c r="AV531" s="102"/>
      <c r="AW531" s="102"/>
      <c r="AX531" s="102"/>
      <c r="AY531" s="102"/>
      <c r="AZ531" s="102"/>
      <c r="BA531" s="102"/>
      <c r="BB531" s="102"/>
      <c r="BC531" s="102"/>
      <c r="BD531" s="102"/>
      <c r="BE531" s="102"/>
      <c r="BF531" s="102"/>
      <c r="BG531" s="102"/>
      <c r="BH531" s="102"/>
      <c r="BI531" s="102"/>
      <c r="BJ531" s="102"/>
      <c r="BK531" s="102"/>
      <c r="BL531" s="102"/>
      <c r="BM531" s="102"/>
      <c r="BN531" s="102"/>
      <c r="BO531" s="102"/>
      <c r="BP531" s="102"/>
      <c r="BQ531" s="102"/>
      <c r="BR531" s="102"/>
      <c r="BS531" s="102"/>
      <c r="BT531" s="102"/>
      <c r="BU531" s="102"/>
    </row>
    <row r="532" spans="15:73"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  <c r="Z532" s="102"/>
      <c r="AA532" s="102"/>
      <c r="AB532" s="102"/>
      <c r="AC532" s="102"/>
      <c r="AD532" s="102"/>
      <c r="AE532" s="102"/>
      <c r="AF532" s="102"/>
      <c r="AG532" s="102"/>
      <c r="AH532" s="102"/>
      <c r="AI532" s="102"/>
      <c r="AJ532" s="102"/>
      <c r="AK532" s="102"/>
      <c r="AL532" s="102"/>
      <c r="AM532" s="102"/>
      <c r="AN532" s="102"/>
      <c r="AO532" s="102"/>
      <c r="AP532" s="102"/>
      <c r="AQ532" s="102"/>
      <c r="AR532" s="102"/>
      <c r="AS532" s="102"/>
      <c r="AT532" s="102"/>
      <c r="AU532" s="102"/>
      <c r="AV532" s="102"/>
      <c r="AW532" s="102"/>
      <c r="AX532" s="102"/>
      <c r="AY532" s="102"/>
      <c r="AZ532" s="102"/>
      <c r="BA532" s="102"/>
      <c r="BB532" s="102"/>
      <c r="BC532" s="102"/>
      <c r="BD532" s="102"/>
      <c r="BE532" s="102"/>
      <c r="BF532" s="102"/>
      <c r="BG532" s="102"/>
      <c r="BH532" s="102"/>
      <c r="BI532" s="102"/>
      <c r="BJ532" s="102"/>
      <c r="BK532" s="102"/>
      <c r="BL532" s="102"/>
      <c r="BM532" s="102"/>
      <c r="BN532" s="102"/>
      <c r="BO532" s="102"/>
      <c r="BP532" s="102"/>
      <c r="BQ532" s="102"/>
      <c r="BR532" s="102"/>
      <c r="BS532" s="102"/>
      <c r="BT532" s="102"/>
      <c r="BU532" s="102"/>
    </row>
    <row r="533" spans="15:73"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  <c r="Z533" s="102"/>
      <c r="AA533" s="102"/>
      <c r="AB533" s="102"/>
      <c r="AC533" s="102"/>
      <c r="AD533" s="102"/>
      <c r="AE533" s="102"/>
      <c r="AF533" s="102"/>
      <c r="AG533" s="102"/>
      <c r="AH533" s="102"/>
      <c r="AI533" s="102"/>
      <c r="AJ533" s="102"/>
      <c r="AK533" s="102"/>
      <c r="AL533" s="102"/>
      <c r="AM533" s="102"/>
      <c r="AN533" s="102"/>
      <c r="AO533" s="102"/>
      <c r="AP533" s="102"/>
      <c r="AQ533" s="102"/>
      <c r="AR533" s="102"/>
      <c r="AS533" s="102"/>
      <c r="AT533" s="102"/>
      <c r="AU533" s="102"/>
      <c r="AV533" s="102"/>
      <c r="AW533" s="102"/>
      <c r="AX533" s="102"/>
      <c r="AY533" s="102"/>
      <c r="AZ533" s="102"/>
      <c r="BA533" s="102"/>
      <c r="BB533" s="102"/>
      <c r="BC533" s="102"/>
      <c r="BD533" s="102"/>
      <c r="BE533" s="102"/>
      <c r="BF533" s="102"/>
      <c r="BG533" s="102"/>
      <c r="BH533" s="102"/>
      <c r="BI533" s="102"/>
      <c r="BJ533" s="102"/>
      <c r="BK533" s="102"/>
      <c r="BL533" s="102"/>
      <c r="BM533" s="102"/>
      <c r="BN533" s="102"/>
      <c r="BO533" s="102"/>
      <c r="BP533" s="102"/>
      <c r="BQ533" s="102"/>
      <c r="BR533" s="102"/>
      <c r="BS533" s="102"/>
      <c r="BT533" s="102"/>
      <c r="BU533" s="102"/>
    </row>
    <row r="534" spans="15:73"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  <c r="Z534" s="102"/>
      <c r="AA534" s="102"/>
      <c r="AB534" s="102"/>
      <c r="AC534" s="102"/>
      <c r="AD534" s="102"/>
      <c r="AE534" s="102"/>
      <c r="AF534" s="102"/>
      <c r="AG534" s="102"/>
      <c r="AH534" s="102"/>
      <c r="AI534" s="102"/>
      <c r="AJ534" s="102"/>
      <c r="AK534" s="102"/>
      <c r="AL534" s="102"/>
      <c r="AM534" s="102"/>
      <c r="AN534" s="102"/>
      <c r="AO534" s="102"/>
      <c r="AP534" s="102"/>
      <c r="AQ534" s="102"/>
      <c r="AR534" s="102"/>
      <c r="AS534" s="102"/>
      <c r="AT534" s="102"/>
      <c r="AU534" s="102"/>
      <c r="AV534" s="102"/>
      <c r="AW534" s="102"/>
      <c r="AX534" s="102"/>
      <c r="AY534" s="102"/>
      <c r="AZ534" s="102"/>
      <c r="BA534" s="102"/>
      <c r="BB534" s="102"/>
      <c r="BC534" s="102"/>
      <c r="BD534" s="102"/>
      <c r="BE534" s="102"/>
      <c r="BF534" s="102"/>
      <c r="BG534" s="102"/>
      <c r="BH534" s="102"/>
      <c r="BI534" s="102"/>
      <c r="BJ534" s="102"/>
      <c r="BK534" s="102"/>
      <c r="BL534" s="102"/>
      <c r="BM534" s="102"/>
      <c r="BN534" s="102"/>
      <c r="BO534" s="102"/>
      <c r="BP534" s="102"/>
      <c r="BQ534" s="102"/>
      <c r="BR534" s="102"/>
      <c r="BS534" s="102"/>
      <c r="BT534" s="102"/>
      <c r="BU534" s="102"/>
    </row>
    <row r="535" spans="15:73"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  <c r="AA535" s="102"/>
      <c r="AB535" s="102"/>
      <c r="AC535" s="102"/>
      <c r="AD535" s="102"/>
      <c r="AE535" s="102"/>
      <c r="AF535" s="102"/>
      <c r="AG535" s="102"/>
      <c r="AH535" s="102"/>
      <c r="AI535" s="102"/>
      <c r="AJ535" s="102"/>
      <c r="AK535" s="102"/>
      <c r="AL535" s="102"/>
      <c r="AM535" s="102"/>
      <c r="AN535" s="102"/>
      <c r="AO535" s="102"/>
      <c r="AP535" s="102"/>
      <c r="AQ535" s="102"/>
      <c r="AR535" s="102"/>
      <c r="AS535" s="102"/>
      <c r="AT535" s="102"/>
      <c r="AU535" s="102"/>
      <c r="AV535" s="102"/>
      <c r="AW535" s="102"/>
      <c r="AX535" s="102"/>
      <c r="AY535" s="102"/>
      <c r="AZ535" s="102"/>
      <c r="BA535" s="102"/>
      <c r="BB535" s="102"/>
      <c r="BC535" s="102"/>
      <c r="BD535" s="102"/>
      <c r="BE535" s="102"/>
      <c r="BF535" s="102"/>
      <c r="BG535" s="102"/>
      <c r="BH535" s="102"/>
      <c r="BI535" s="102"/>
      <c r="BJ535" s="102"/>
      <c r="BK535" s="102"/>
      <c r="BL535" s="102"/>
      <c r="BM535" s="102"/>
      <c r="BN535" s="102"/>
      <c r="BO535" s="102"/>
      <c r="BP535" s="102"/>
      <c r="BQ535" s="102"/>
      <c r="BR535" s="102"/>
      <c r="BS535" s="102"/>
      <c r="BT535" s="102"/>
      <c r="BU535" s="102"/>
    </row>
    <row r="536" spans="15:73"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  <c r="AA536" s="102"/>
      <c r="AB536" s="102"/>
      <c r="AC536" s="102"/>
      <c r="AD536" s="102"/>
      <c r="AE536" s="102"/>
      <c r="AF536" s="102"/>
      <c r="AG536" s="102"/>
      <c r="AH536" s="102"/>
      <c r="AI536" s="102"/>
      <c r="AJ536" s="102"/>
      <c r="AK536" s="102"/>
      <c r="AL536" s="102"/>
      <c r="AM536" s="102"/>
      <c r="AN536" s="102"/>
      <c r="AO536" s="102"/>
      <c r="AP536" s="102"/>
      <c r="AQ536" s="102"/>
      <c r="AR536" s="102"/>
      <c r="AS536" s="102"/>
      <c r="AT536" s="102"/>
      <c r="AU536" s="102"/>
      <c r="AV536" s="102"/>
      <c r="AW536" s="102"/>
      <c r="AX536" s="102"/>
      <c r="AY536" s="102"/>
      <c r="AZ536" s="102"/>
      <c r="BA536" s="102"/>
      <c r="BB536" s="102"/>
      <c r="BC536" s="102"/>
      <c r="BD536" s="102"/>
      <c r="BE536" s="102"/>
      <c r="BF536" s="102"/>
      <c r="BG536" s="102"/>
      <c r="BH536" s="102"/>
      <c r="BI536" s="102"/>
      <c r="BJ536" s="102"/>
      <c r="BK536" s="102"/>
      <c r="BL536" s="102"/>
      <c r="BM536" s="102"/>
      <c r="BN536" s="102"/>
      <c r="BO536" s="102"/>
      <c r="BP536" s="102"/>
      <c r="BQ536" s="102"/>
      <c r="BR536" s="102"/>
      <c r="BS536" s="102"/>
      <c r="BT536" s="102"/>
      <c r="BU536" s="102"/>
    </row>
    <row r="537" spans="15:73"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102"/>
      <c r="AJ537" s="102"/>
      <c r="AK537" s="102"/>
      <c r="AL537" s="102"/>
      <c r="AM537" s="102"/>
      <c r="AN537" s="102"/>
      <c r="AO537" s="102"/>
      <c r="AP537" s="102"/>
      <c r="AQ537" s="102"/>
      <c r="AR537" s="102"/>
      <c r="AS537" s="102"/>
      <c r="AT537" s="102"/>
      <c r="AU537" s="102"/>
      <c r="AV537" s="102"/>
      <c r="AW537" s="102"/>
      <c r="AX537" s="102"/>
      <c r="AY537" s="102"/>
      <c r="AZ537" s="102"/>
      <c r="BA537" s="102"/>
      <c r="BB537" s="102"/>
      <c r="BC537" s="102"/>
      <c r="BD537" s="102"/>
      <c r="BE537" s="102"/>
      <c r="BF537" s="102"/>
      <c r="BG537" s="102"/>
      <c r="BH537" s="102"/>
      <c r="BI537" s="102"/>
      <c r="BJ537" s="102"/>
      <c r="BK537" s="102"/>
      <c r="BL537" s="102"/>
      <c r="BM537" s="102"/>
      <c r="BN537" s="102"/>
      <c r="BO537" s="102"/>
      <c r="BP537" s="102"/>
      <c r="BQ537" s="102"/>
      <c r="BR537" s="102"/>
      <c r="BS537" s="102"/>
      <c r="BT537" s="102"/>
      <c r="BU537" s="102"/>
    </row>
    <row r="538" spans="15:73"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102"/>
      <c r="AJ538" s="102"/>
      <c r="AK538" s="102"/>
      <c r="AL538" s="102"/>
      <c r="AM538" s="102"/>
      <c r="AN538" s="102"/>
      <c r="AO538" s="102"/>
      <c r="AP538" s="102"/>
      <c r="AQ538" s="102"/>
      <c r="AR538" s="102"/>
      <c r="AS538" s="102"/>
      <c r="AT538" s="102"/>
      <c r="AU538" s="102"/>
      <c r="AV538" s="102"/>
      <c r="AW538" s="102"/>
      <c r="AX538" s="102"/>
      <c r="AY538" s="102"/>
      <c r="AZ538" s="102"/>
      <c r="BA538" s="102"/>
      <c r="BB538" s="102"/>
      <c r="BC538" s="102"/>
      <c r="BD538" s="102"/>
      <c r="BE538" s="102"/>
      <c r="BF538" s="102"/>
      <c r="BG538" s="102"/>
      <c r="BH538" s="102"/>
      <c r="BI538" s="102"/>
      <c r="BJ538" s="102"/>
      <c r="BK538" s="102"/>
      <c r="BL538" s="102"/>
      <c r="BM538" s="102"/>
      <c r="BN538" s="102"/>
      <c r="BO538" s="102"/>
      <c r="BP538" s="102"/>
      <c r="BQ538" s="102"/>
      <c r="BR538" s="102"/>
      <c r="BS538" s="102"/>
      <c r="BT538" s="102"/>
      <c r="BU538" s="102"/>
    </row>
    <row r="539" spans="15:73"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102"/>
      <c r="AJ539" s="102"/>
      <c r="AK539" s="102"/>
      <c r="AL539" s="102"/>
      <c r="AM539" s="102"/>
      <c r="AN539" s="102"/>
      <c r="AO539" s="102"/>
      <c r="AP539" s="102"/>
      <c r="AQ539" s="102"/>
      <c r="AR539" s="102"/>
      <c r="AS539" s="102"/>
      <c r="AT539" s="102"/>
      <c r="AU539" s="102"/>
      <c r="AV539" s="102"/>
      <c r="AW539" s="102"/>
      <c r="AX539" s="102"/>
      <c r="AY539" s="102"/>
      <c r="AZ539" s="102"/>
      <c r="BA539" s="102"/>
      <c r="BB539" s="102"/>
      <c r="BC539" s="102"/>
      <c r="BD539" s="102"/>
      <c r="BE539" s="102"/>
      <c r="BF539" s="102"/>
      <c r="BG539" s="102"/>
      <c r="BH539" s="102"/>
      <c r="BI539" s="102"/>
      <c r="BJ539" s="102"/>
      <c r="BK539" s="102"/>
      <c r="BL539" s="102"/>
      <c r="BM539" s="102"/>
      <c r="BN539" s="102"/>
      <c r="BO539" s="102"/>
      <c r="BP539" s="102"/>
      <c r="BQ539" s="102"/>
      <c r="BR539" s="102"/>
      <c r="BS539" s="102"/>
      <c r="BT539" s="102"/>
      <c r="BU539" s="102"/>
    </row>
    <row r="540" spans="15:73"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102"/>
      <c r="AJ540" s="102"/>
      <c r="AK540" s="102"/>
      <c r="AL540" s="102"/>
      <c r="AM540" s="102"/>
      <c r="AN540" s="102"/>
      <c r="AO540" s="102"/>
      <c r="AP540" s="102"/>
      <c r="AQ540" s="102"/>
      <c r="AR540" s="102"/>
      <c r="AS540" s="102"/>
      <c r="AT540" s="102"/>
      <c r="AU540" s="102"/>
      <c r="AV540" s="102"/>
      <c r="AW540" s="102"/>
      <c r="AX540" s="102"/>
      <c r="AY540" s="102"/>
      <c r="AZ540" s="102"/>
      <c r="BA540" s="102"/>
      <c r="BB540" s="102"/>
      <c r="BC540" s="102"/>
      <c r="BD540" s="102"/>
      <c r="BE540" s="102"/>
      <c r="BF540" s="102"/>
      <c r="BG540" s="102"/>
      <c r="BH540" s="102"/>
      <c r="BI540" s="102"/>
      <c r="BJ540" s="102"/>
      <c r="BK540" s="102"/>
      <c r="BL540" s="102"/>
      <c r="BM540" s="102"/>
      <c r="BN540" s="102"/>
      <c r="BO540" s="102"/>
      <c r="BP540" s="102"/>
      <c r="BQ540" s="102"/>
      <c r="BR540" s="102"/>
      <c r="BS540" s="102"/>
      <c r="BT540" s="102"/>
      <c r="BU540" s="102"/>
    </row>
    <row r="541" spans="15:73"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102"/>
      <c r="AJ541" s="102"/>
      <c r="AK541" s="102"/>
      <c r="AL541" s="102"/>
      <c r="AM541" s="102"/>
      <c r="AN541" s="102"/>
      <c r="AO541" s="102"/>
      <c r="AP541" s="102"/>
      <c r="AQ541" s="102"/>
      <c r="AR541" s="102"/>
      <c r="AS541" s="102"/>
      <c r="AT541" s="102"/>
      <c r="AU541" s="102"/>
      <c r="AV541" s="102"/>
      <c r="AW541" s="102"/>
      <c r="AX541" s="102"/>
      <c r="AY541" s="102"/>
      <c r="AZ541" s="102"/>
      <c r="BA541" s="102"/>
      <c r="BB541" s="102"/>
      <c r="BC541" s="102"/>
      <c r="BD541" s="102"/>
      <c r="BE541" s="102"/>
      <c r="BF541" s="102"/>
      <c r="BG541" s="102"/>
      <c r="BH541" s="102"/>
      <c r="BI541" s="102"/>
      <c r="BJ541" s="102"/>
      <c r="BK541" s="102"/>
      <c r="BL541" s="102"/>
      <c r="BM541" s="102"/>
      <c r="BN541" s="102"/>
      <c r="BO541" s="102"/>
      <c r="BP541" s="102"/>
      <c r="BQ541" s="102"/>
      <c r="BR541" s="102"/>
      <c r="BS541" s="102"/>
      <c r="BT541" s="102"/>
      <c r="BU541" s="102"/>
    </row>
    <row r="542" spans="15:73"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102"/>
      <c r="AJ542" s="102"/>
      <c r="AK542" s="102"/>
      <c r="AL542" s="102"/>
      <c r="AM542" s="102"/>
      <c r="AN542" s="102"/>
      <c r="AO542" s="102"/>
      <c r="AP542" s="102"/>
      <c r="AQ542" s="102"/>
      <c r="AR542" s="102"/>
      <c r="AS542" s="102"/>
      <c r="AT542" s="102"/>
      <c r="AU542" s="102"/>
      <c r="AV542" s="102"/>
      <c r="AW542" s="102"/>
      <c r="AX542" s="102"/>
      <c r="AY542" s="102"/>
      <c r="AZ542" s="102"/>
      <c r="BA542" s="102"/>
      <c r="BB542" s="102"/>
      <c r="BC542" s="102"/>
      <c r="BD542" s="102"/>
      <c r="BE542" s="102"/>
      <c r="BF542" s="102"/>
      <c r="BG542" s="102"/>
      <c r="BH542" s="102"/>
      <c r="BI542" s="102"/>
      <c r="BJ542" s="102"/>
      <c r="BK542" s="102"/>
      <c r="BL542" s="102"/>
      <c r="BM542" s="102"/>
      <c r="BN542" s="102"/>
      <c r="BO542" s="102"/>
      <c r="BP542" s="102"/>
      <c r="BQ542" s="102"/>
      <c r="BR542" s="102"/>
      <c r="BS542" s="102"/>
      <c r="BT542" s="102"/>
      <c r="BU542" s="102"/>
    </row>
    <row r="543" spans="15:73"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  <c r="AD543" s="102"/>
      <c r="AE543" s="102"/>
      <c r="AF543" s="102"/>
      <c r="AG543" s="102"/>
      <c r="AH543" s="102"/>
      <c r="AI543" s="102"/>
      <c r="AJ543" s="102"/>
      <c r="AK543" s="102"/>
      <c r="AL543" s="102"/>
      <c r="AM543" s="102"/>
      <c r="AN543" s="102"/>
      <c r="AO543" s="102"/>
      <c r="AP543" s="102"/>
      <c r="AQ543" s="102"/>
      <c r="AR543" s="102"/>
      <c r="AS543" s="102"/>
      <c r="AT543" s="102"/>
      <c r="AU543" s="102"/>
      <c r="AV543" s="102"/>
      <c r="AW543" s="102"/>
      <c r="AX543" s="102"/>
      <c r="AY543" s="102"/>
      <c r="AZ543" s="102"/>
      <c r="BA543" s="102"/>
      <c r="BB543" s="102"/>
      <c r="BC543" s="102"/>
      <c r="BD543" s="102"/>
      <c r="BE543" s="102"/>
      <c r="BF543" s="102"/>
      <c r="BG543" s="102"/>
      <c r="BH543" s="102"/>
      <c r="BI543" s="102"/>
      <c r="BJ543" s="102"/>
      <c r="BK543" s="102"/>
      <c r="BL543" s="102"/>
      <c r="BM543" s="102"/>
      <c r="BN543" s="102"/>
      <c r="BO543" s="102"/>
      <c r="BP543" s="102"/>
      <c r="BQ543" s="102"/>
      <c r="BR543" s="102"/>
      <c r="BS543" s="102"/>
      <c r="BT543" s="102"/>
      <c r="BU543" s="102"/>
    </row>
  </sheetData>
  <dataConsolidate link="1"/>
  <phoneticPr fontId="32" type="noConversion"/>
  <pageMargins left="0.75" right="0.75" top="1" bottom="1" header="0.5" footer="0.5"/>
  <pageSetup scale="5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9"/>
  <sheetViews>
    <sheetView showGridLines="0" zoomScale="70" zoomScaleNormal="70" workbookViewId="0"/>
  </sheetViews>
  <sheetFormatPr defaultColWidth="9.109375" defaultRowHeight="13.2"/>
  <cols>
    <col min="1" max="1" width="16" customWidth="1"/>
    <col min="2" max="2" width="12.33203125" bestFit="1" customWidth="1"/>
    <col min="3" max="3" width="13" bestFit="1" customWidth="1"/>
    <col min="4" max="4" width="11" bestFit="1" customWidth="1"/>
    <col min="5" max="5" width="11.5546875" bestFit="1" customWidth="1"/>
    <col min="6" max="6" width="1.6640625" customWidth="1"/>
    <col min="7" max="9" width="11.5546875" bestFit="1" customWidth="1"/>
    <col min="10" max="10" width="10.6640625" customWidth="1"/>
    <col min="11" max="11" width="13.5546875" customWidth="1"/>
    <col min="12" max="12" width="11.6640625" bestFit="1" customWidth="1"/>
  </cols>
  <sheetData>
    <row r="1" spans="1:12" ht="13.8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13.8">
      <c r="A2" s="15"/>
      <c r="B2" s="164" t="s">
        <v>57</v>
      </c>
      <c r="C2" s="164"/>
      <c r="D2" s="164"/>
      <c r="E2" s="164"/>
      <c r="F2" s="15"/>
      <c r="G2" s="164" t="s">
        <v>58</v>
      </c>
      <c r="H2" s="164"/>
      <c r="I2" s="164"/>
      <c r="J2" s="15"/>
    </row>
    <row r="3" spans="1:12" ht="13.8">
      <c r="A3" s="15" t="s">
        <v>17</v>
      </c>
      <c r="B3" s="17" t="s">
        <v>20</v>
      </c>
      <c r="C3" s="20"/>
      <c r="D3" s="20"/>
      <c r="E3" s="20"/>
      <c r="F3" s="20"/>
      <c r="G3" s="20"/>
      <c r="H3" s="20"/>
      <c r="I3" s="20"/>
      <c r="J3" s="17" t="s">
        <v>59</v>
      </c>
    </row>
    <row r="4" spans="1:12" ht="13.8">
      <c r="A4" s="21" t="s">
        <v>60</v>
      </c>
      <c r="B4" s="23" t="s">
        <v>61</v>
      </c>
      <c r="C4" s="23" t="s">
        <v>26</v>
      </c>
      <c r="D4" s="23" t="s">
        <v>27</v>
      </c>
      <c r="E4" s="25" t="s">
        <v>62</v>
      </c>
      <c r="F4" s="24"/>
      <c r="G4" s="23" t="s">
        <v>63</v>
      </c>
      <c r="H4" s="23" t="s">
        <v>64</v>
      </c>
      <c r="I4" s="23" t="s">
        <v>62</v>
      </c>
      <c r="J4" s="23" t="s">
        <v>65</v>
      </c>
    </row>
    <row r="5" spans="1:12" ht="14.4">
      <c r="A5" s="15"/>
      <c r="B5" s="165" t="s">
        <v>66</v>
      </c>
      <c r="C5" s="165"/>
      <c r="D5" s="165"/>
      <c r="E5" s="165"/>
      <c r="F5" s="165"/>
      <c r="G5" s="165"/>
      <c r="H5" s="165"/>
      <c r="I5" s="165"/>
      <c r="J5" s="165"/>
    </row>
    <row r="6" spans="1:12" ht="13.8">
      <c r="A6" s="15" t="s">
        <v>34</v>
      </c>
      <c r="B6" s="42">
        <v>340.786</v>
      </c>
      <c r="C6" s="43">
        <f>C23</f>
        <v>51814.455000000002</v>
      </c>
      <c r="D6" s="43">
        <f>D23</f>
        <v>654.51012091299992</v>
      </c>
      <c r="E6" s="32">
        <f>E23</f>
        <v>52809.751120913003</v>
      </c>
      <c r="F6" s="43"/>
      <c r="G6" s="43">
        <f>G23</f>
        <v>38958.712443149998</v>
      </c>
      <c r="H6" s="43">
        <f>H23</f>
        <v>13540.111898224999</v>
      </c>
      <c r="I6" s="43">
        <f>I23</f>
        <v>52498.824231143997</v>
      </c>
      <c r="J6" s="43">
        <f>J22</f>
        <v>310.92700000000002</v>
      </c>
    </row>
    <row r="7" spans="1:12" ht="16.2">
      <c r="A7" s="15" t="s">
        <v>35</v>
      </c>
      <c r="B7" s="42">
        <f>J6</f>
        <v>310.92700000000002</v>
      </c>
      <c r="C7" s="43">
        <v>52564.07</v>
      </c>
      <c r="D7" s="43">
        <v>625</v>
      </c>
      <c r="E7" s="32">
        <f>SUM(B7:D7)</f>
        <v>53499.997000000003</v>
      </c>
      <c r="F7" s="43"/>
      <c r="G7" s="43">
        <v>38950</v>
      </c>
      <c r="H7" s="43">
        <v>14200</v>
      </c>
      <c r="I7" s="43">
        <f>G7+H7</f>
        <v>53150</v>
      </c>
      <c r="J7" s="43">
        <f>E7-I7</f>
        <v>349.99700000000303</v>
      </c>
    </row>
    <row r="8" spans="1:12" ht="16.2">
      <c r="A8" s="15" t="s">
        <v>36</v>
      </c>
      <c r="B8" s="42">
        <f>J7</f>
        <v>349.99700000000303</v>
      </c>
      <c r="C8" s="43">
        <v>54175</v>
      </c>
      <c r="D8" s="43">
        <v>600</v>
      </c>
      <c r="E8" s="32">
        <f>SUM(B8:D8)</f>
        <v>55124.997000000003</v>
      </c>
      <c r="F8" s="43"/>
      <c r="G8" s="43">
        <v>39725</v>
      </c>
      <c r="H8" s="43">
        <v>15000</v>
      </c>
      <c r="I8" s="43">
        <f>G8+H8</f>
        <v>54725</v>
      </c>
      <c r="J8" s="43">
        <f>E8-I8</f>
        <v>399.99700000000303</v>
      </c>
    </row>
    <row r="9" spans="1:12" ht="13.8">
      <c r="A9" s="15"/>
      <c r="B9" s="44"/>
      <c r="C9" s="44"/>
      <c r="D9" s="44"/>
      <c r="E9" s="44"/>
      <c r="F9" s="44"/>
      <c r="G9" s="43"/>
      <c r="H9" s="44"/>
      <c r="I9" s="44"/>
      <c r="J9" s="44"/>
    </row>
    <row r="10" spans="1:12" ht="13.8">
      <c r="A10" s="35" t="s">
        <v>34</v>
      </c>
      <c r="B10" s="45"/>
      <c r="C10" s="6"/>
      <c r="D10" s="6"/>
      <c r="E10" s="6"/>
      <c r="F10" s="6"/>
      <c r="G10" s="6"/>
      <c r="H10" s="6"/>
      <c r="I10" s="6"/>
      <c r="J10" s="6"/>
    </row>
    <row r="11" spans="1:12" ht="14.4">
      <c r="A11" s="15" t="s">
        <v>38</v>
      </c>
      <c r="B11" s="45">
        <f>B6</f>
        <v>340.786</v>
      </c>
      <c r="C11" s="6">
        <v>4591.6390000000001</v>
      </c>
      <c r="D11" s="6">
        <f>(56544.1*1.10231)/1000</f>
        <v>62.329126870999993</v>
      </c>
      <c r="E11" s="6">
        <f t="shared" ref="E11:E22" si="0">SUM(B11:D11)</f>
        <v>4994.7541268710002</v>
      </c>
      <c r="F11" s="6"/>
      <c r="G11" s="6">
        <f t="shared" ref="G11:G22" si="1">I11-H11</f>
        <v>3492.8224392370003</v>
      </c>
      <c r="H11" s="6">
        <f>(989241.4*1.10231)/1000</f>
        <v>1090.4506876339999</v>
      </c>
      <c r="I11" s="5">
        <f t="shared" ref="I11:I22" si="2">E11-J11</f>
        <v>4583.2731268710004</v>
      </c>
      <c r="J11" s="6">
        <v>411.48099999999999</v>
      </c>
      <c r="K11" s="103"/>
      <c r="L11" s="107"/>
    </row>
    <row r="12" spans="1:12" ht="14.4">
      <c r="A12" s="15" t="s">
        <v>39</v>
      </c>
      <c r="B12" s="45">
        <f t="shared" ref="B12:B19" si="3">J11</f>
        <v>411.48099999999999</v>
      </c>
      <c r="C12" s="6">
        <v>4456.7700000000004</v>
      </c>
      <c r="D12" s="6">
        <f>(33725.3*1.10231)/1000</f>
        <v>37.175735443000001</v>
      </c>
      <c r="E12" s="6">
        <f t="shared" si="0"/>
        <v>4905.4267354430003</v>
      </c>
      <c r="F12" s="6"/>
      <c r="G12" s="6">
        <f t="shared" si="1"/>
        <v>3282.1252583210003</v>
      </c>
      <c r="H12" s="6">
        <f>(1131886.2*1.10231)/1000</f>
        <v>1247.689477122</v>
      </c>
      <c r="I12" s="5">
        <f t="shared" si="2"/>
        <v>4529.8147354430002</v>
      </c>
      <c r="J12" s="6">
        <v>375.61200000000002</v>
      </c>
      <c r="K12" s="103"/>
      <c r="L12" s="107"/>
    </row>
    <row r="13" spans="1:12" ht="14.4">
      <c r="A13" s="15" t="s">
        <v>41</v>
      </c>
      <c r="B13" s="45">
        <f t="shared" si="3"/>
        <v>375.61200000000002</v>
      </c>
      <c r="C13" s="6">
        <v>4629.5519999999997</v>
      </c>
      <c r="D13" s="6">
        <f>(33571.6*1.10231)/1000</f>
        <v>37.006310395999996</v>
      </c>
      <c r="E13" s="6">
        <f t="shared" si="0"/>
        <v>5042.1703103959999</v>
      </c>
      <c r="F13" s="6"/>
      <c r="G13" s="6">
        <f t="shared" si="1"/>
        <v>3225.7453203929999</v>
      </c>
      <c r="H13" s="6">
        <f>(1274701.3*1.10231)/1000</f>
        <v>1405.115990003</v>
      </c>
      <c r="I13" s="5">
        <f t="shared" si="2"/>
        <v>4630.8613103959997</v>
      </c>
      <c r="J13" s="6">
        <v>411.30900000000003</v>
      </c>
      <c r="K13" s="103"/>
      <c r="L13" s="107"/>
    </row>
    <row r="14" spans="1:12" ht="14.4">
      <c r="A14" s="15" t="s">
        <v>42</v>
      </c>
      <c r="B14" s="45">
        <f t="shared" si="3"/>
        <v>411.30900000000003</v>
      </c>
      <c r="C14" s="6">
        <v>4533.1530000000002</v>
      </c>
      <c r="D14" s="6">
        <f>(40245.8*1.10231)/1000</f>
        <v>44.363347798</v>
      </c>
      <c r="E14" s="6">
        <f t="shared" si="0"/>
        <v>4988.8253477980006</v>
      </c>
      <c r="F14" s="6"/>
      <c r="G14" s="6">
        <f t="shared" si="1"/>
        <v>3261.1777285130011</v>
      </c>
      <c r="H14" s="6">
        <f>(1176523.5*1.10231)/1000</f>
        <v>1296.8936192849999</v>
      </c>
      <c r="I14" s="5">
        <f t="shared" si="2"/>
        <v>4558.0713477980007</v>
      </c>
      <c r="J14" s="6">
        <v>430.75400000000002</v>
      </c>
      <c r="K14" s="103"/>
      <c r="L14" s="107"/>
    </row>
    <row r="15" spans="1:12" ht="14.4">
      <c r="A15" s="15" t="s">
        <v>43</v>
      </c>
      <c r="B15" s="45">
        <f t="shared" si="3"/>
        <v>430.75400000000002</v>
      </c>
      <c r="C15" s="6">
        <v>4089.9549999999999</v>
      </c>
      <c r="D15" s="6">
        <f>(46708.1*1.10231)/1000</f>
        <v>51.486805710999995</v>
      </c>
      <c r="E15" s="6">
        <f t="shared" si="0"/>
        <v>4572.1958057109996</v>
      </c>
      <c r="F15" s="6"/>
      <c r="G15" s="6">
        <f t="shared" si="1"/>
        <v>3111.5948929989995</v>
      </c>
      <c r="H15" s="6">
        <f>(974975.2*1.10231)/1000</f>
        <v>1074.7249127119999</v>
      </c>
      <c r="I15" s="5">
        <f t="shared" si="2"/>
        <v>4186.3198057109994</v>
      </c>
      <c r="J15" s="6">
        <v>385.87600000000003</v>
      </c>
      <c r="K15" s="103"/>
      <c r="L15" s="107"/>
    </row>
    <row r="16" spans="1:12" ht="14.4">
      <c r="A16" s="15" t="s">
        <v>45</v>
      </c>
      <c r="B16" s="45">
        <f t="shared" si="3"/>
        <v>385.87600000000003</v>
      </c>
      <c r="C16" s="6">
        <v>4549.6310000000003</v>
      </c>
      <c r="D16" s="6">
        <f>(36595.5*1.10231)/1000</f>
        <v>40.339585604999996</v>
      </c>
      <c r="E16" s="6">
        <f t="shared" si="0"/>
        <v>4975.8465856050007</v>
      </c>
      <c r="F16" s="6"/>
      <c r="G16" s="6">
        <f t="shared" si="1"/>
        <v>3358.6433219240007</v>
      </c>
      <c r="H16" s="6">
        <f>(1121495.1*1.10231)/1000</f>
        <v>1236.2352636810001</v>
      </c>
      <c r="I16" s="5">
        <f t="shared" si="2"/>
        <v>4594.8785856050008</v>
      </c>
      <c r="J16" s="6">
        <v>380.96799999999996</v>
      </c>
      <c r="K16" s="103"/>
      <c r="L16" s="107"/>
    </row>
    <row r="17" spans="1:12" ht="14.4">
      <c r="A17" s="15" t="s">
        <v>46</v>
      </c>
      <c r="B17" s="45">
        <f t="shared" si="3"/>
        <v>380.96799999999996</v>
      </c>
      <c r="C17" s="6">
        <v>4254.5450000000001</v>
      </c>
      <c r="D17" s="6">
        <f>(43906*1.10231)/1000</f>
        <v>48.398022859999998</v>
      </c>
      <c r="E17" s="6">
        <f t="shared" si="0"/>
        <v>4683.9110228600002</v>
      </c>
      <c r="F17" s="6"/>
      <c r="G17" s="6">
        <f t="shared" si="1"/>
        <v>3059.0861262310009</v>
      </c>
      <c r="H17" s="6">
        <f>(1070305.9*1.10231)/1000</f>
        <v>1179.8088966289999</v>
      </c>
      <c r="I17" s="5">
        <f t="shared" si="2"/>
        <v>4238.8950228600006</v>
      </c>
      <c r="J17" s="6">
        <v>445.01600000000002</v>
      </c>
      <c r="K17" s="103"/>
      <c r="L17" s="107"/>
    </row>
    <row r="18" spans="1:12" ht="14.4">
      <c r="A18" s="15" t="s">
        <v>47</v>
      </c>
      <c r="B18" s="45">
        <f t="shared" si="3"/>
        <v>445.01600000000002</v>
      </c>
      <c r="C18" s="6">
        <v>4260.0889999999999</v>
      </c>
      <c r="D18" s="108">
        <f>(77175.9*1.10231)/1000</f>
        <v>85.071766328999985</v>
      </c>
      <c r="E18" s="6">
        <f t="shared" si="0"/>
        <v>4790.1767663289993</v>
      </c>
      <c r="F18" s="6"/>
      <c r="G18" s="6">
        <f t="shared" si="1"/>
        <v>3205.4898923439991</v>
      </c>
      <c r="H18" s="108">
        <f>(1016893.5*1.10231)/1000</f>
        <v>1120.931873985</v>
      </c>
      <c r="I18" s="5">
        <f t="shared" si="2"/>
        <v>4326.4217663289992</v>
      </c>
      <c r="J18" s="6">
        <v>463.755</v>
      </c>
      <c r="K18" s="103"/>
      <c r="L18" s="107"/>
    </row>
    <row r="19" spans="1:12" ht="14.4">
      <c r="A19" s="15" t="s">
        <v>49</v>
      </c>
      <c r="B19" s="45">
        <f t="shared" si="3"/>
        <v>463.755</v>
      </c>
      <c r="C19" s="6">
        <v>4106.5650000000005</v>
      </c>
      <c r="D19" s="108">
        <f>(61421.4*1.10231)/1000</f>
        <v>67.705423433999997</v>
      </c>
      <c r="E19" s="6">
        <f t="shared" si="0"/>
        <v>4638.0254234340009</v>
      </c>
      <c r="F19" s="6"/>
      <c r="G19" s="6">
        <f t="shared" si="1"/>
        <v>3118.3433548350013</v>
      </c>
      <c r="H19" s="108">
        <f>(1054492.9*1.10231)/1000</f>
        <v>1162.3780685989998</v>
      </c>
      <c r="I19" s="5">
        <f t="shared" si="2"/>
        <v>4280.7214234340008</v>
      </c>
      <c r="J19" s="6">
        <v>357.30399999999997</v>
      </c>
      <c r="K19" s="103"/>
    </row>
    <row r="20" spans="1:12" ht="14.4">
      <c r="A20" s="15" t="s">
        <v>50</v>
      </c>
      <c r="B20" s="45">
        <f>J19</f>
        <v>357.30399999999997</v>
      </c>
      <c r="C20" s="6">
        <v>4270.28</v>
      </c>
      <c r="D20" s="108">
        <f>(67308.7*1.10231)/1000</f>
        <v>74.195053096999999</v>
      </c>
      <c r="E20" s="6">
        <f t="shared" si="0"/>
        <v>4701.7790530969996</v>
      </c>
      <c r="F20" s="6"/>
      <c r="G20" s="6">
        <f t="shared" si="1"/>
        <v>3245.3890736799999</v>
      </c>
      <c r="H20" s="108">
        <f>(843380.7*1.10231)/1000</f>
        <v>929.66697941699988</v>
      </c>
      <c r="I20" s="5">
        <f t="shared" si="2"/>
        <v>4175.0560530969997</v>
      </c>
      <c r="J20" s="6">
        <v>526.72299999999996</v>
      </c>
      <c r="K20" s="103"/>
    </row>
    <row r="21" spans="1:12" ht="14.4">
      <c r="A21" s="15" t="s">
        <v>51</v>
      </c>
      <c r="B21" s="45">
        <f>J20</f>
        <v>526.72299999999996</v>
      </c>
      <c r="C21" s="6">
        <v>4147.2370000000001</v>
      </c>
      <c r="D21" s="108">
        <f>(45440.9*1.10231)/1000</f>
        <v>50.089958478999996</v>
      </c>
      <c r="E21" s="6">
        <f t="shared" si="0"/>
        <v>4724.0499584790005</v>
      </c>
      <c r="F21" s="6"/>
      <c r="G21" s="6">
        <f t="shared" si="1"/>
        <v>3479.0613874090009</v>
      </c>
      <c r="H21" s="108">
        <f>(813797*1.10231)/1000</f>
        <v>897.0565710699999</v>
      </c>
      <c r="I21" s="5">
        <f t="shared" si="2"/>
        <v>4376.1179584790007</v>
      </c>
      <c r="J21" s="6">
        <v>347.93200000000002</v>
      </c>
      <c r="K21" s="103"/>
    </row>
    <row r="22" spans="1:12" ht="14.4">
      <c r="A22" s="15" t="s">
        <v>37</v>
      </c>
      <c r="B22" s="45">
        <f>J21</f>
        <v>347.93200000000002</v>
      </c>
      <c r="C22" s="6">
        <v>3925.0389999999998</v>
      </c>
      <c r="D22" s="108">
        <f>(51119.1*1.10231)/1000</f>
        <v>56.349095120999991</v>
      </c>
      <c r="E22" s="6">
        <f t="shared" si="0"/>
        <v>4329.3200951209992</v>
      </c>
      <c r="F22" s="6"/>
      <c r="G22" s="6">
        <f t="shared" si="1"/>
        <v>3119.233647263999</v>
      </c>
      <c r="H22" s="108">
        <f>(815704.7*1.10231)/1000</f>
        <v>899.1594478569998</v>
      </c>
      <c r="I22" s="5">
        <f t="shared" si="2"/>
        <v>4018.3930951209991</v>
      </c>
      <c r="J22" s="6">
        <v>310.92700000000002</v>
      </c>
      <c r="K22" s="111"/>
    </row>
    <row r="23" spans="1:12" ht="14.4">
      <c r="A23" s="15" t="s">
        <v>28</v>
      </c>
      <c r="B23" s="45"/>
      <c r="C23" s="6">
        <f>SUM(C11:C22)</f>
        <v>51814.455000000002</v>
      </c>
      <c r="D23" s="6">
        <f>(593762.3*1.10231)/1000</f>
        <v>654.51012091299992</v>
      </c>
      <c r="E23" s="6">
        <f>B11+C23+D23</f>
        <v>52809.751120913003</v>
      </c>
      <c r="F23" s="6"/>
      <c r="G23" s="6">
        <f>SUM(G11:G22)</f>
        <v>38958.712443149998</v>
      </c>
      <c r="H23" s="32">
        <f>(12283397.5*1.10231)/1000</f>
        <v>13540.111898224999</v>
      </c>
      <c r="I23" s="6">
        <f>SUM(I11:I22)</f>
        <v>52498.824231143997</v>
      </c>
      <c r="J23" s="6"/>
      <c r="K23" s="103"/>
    </row>
    <row r="24" spans="1:12" ht="14.4">
      <c r="A24" s="15"/>
      <c r="B24" s="45"/>
      <c r="C24" s="6"/>
      <c r="D24" s="6"/>
      <c r="E24" s="6"/>
      <c r="F24" s="6"/>
      <c r="G24" s="6"/>
      <c r="H24" s="6"/>
      <c r="I24" s="6"/>
      <c r="J24" s="6"/>
      <c r="K24" s="103"/>
    </row>
    <row r="25" spans="1:12" ht="14.4">
      <c r="A25" s="35" t="s">
        <v>53</v>
      </c>
      <c r="B25" s="45"/>
      <c r="C25" s="6"/>
      <c r="D25" s="6"/>
      <c r="E25" s="6"/>
      <c r="F25" s="6"/>
      <c r="G25" s="6"/>
      <c r="H25" s="6"/>
      <c r="I25" s="6"/>
      <c r="J25" s="6"/>
      <c r="K25" s="103"/>
    </row>
    <row r="26" spans="1:12" ht="14.4">
      <c r="A26" s="15" t="s">
        <v>38</v>
      </c>
      <c r="B26" s="45">
        <f>J22</f>
        <v>310.92700000000002</v>
      </c>
      <c r="C26" s="6">
        <v>4603.3959999999997</v>
      </c>
      <c r="D26" s="6">
        <f>(52509.6*1.10231)/1000</f>
        <v>57.88185717599999</v>
      </c>
      <c r="E26" s="6">
        <f t="shared" ref="E26:E34" si="4">SUM(B26:D26)</f>
        <v>4972.2048571759997</v>
      </c>
      <c r="F26" s="6"/>
      <c r="G26" s="6">
        <f t="shared" ref="G26:G34" si="5">I26-H26</f>
        <v>3639.9264505289998</v>
      </c>
      <c r="H26" s="6">
        <f>(865513.7*1.10231)/1000</f>
        <v>954.06440664699983</v>
      </c>
      <c r="I26" s="5">
        <f t="shared" ref="I26:I34" si="6">E26-J26</f>
        <v>4593.9908571759997</v>
      </c>
      <c r="J26" s="6">
        <v>378.214</v>
      </c>
      <c r="K26" s="103"/>
    </row>
    <row r="27" spans="1:12" ht="14.4">
      <c r="A27" s="15" t="s">
        <v>39</v>
      </c>
      <c r="B27" s="45">
        <f t="shared" ref="B27:B32" si="7">J26</f>
        <v>378.214</v>
      </c>
      <c r="C27" s="6">
        <v>4469.9660000000003</v>
      </c>
      <c r="D27" s="6">
        <f>(53341.5*1.10231)/1000</f>
        <v>58.798868864999996</v>
      </c>
      <c r="E27" s="6">
        <f t="shared" si="4"/>
        <v>4906.9788688650005</v>
      </c>
      <c r="F27" s="6"/>
      <c r="G27" s="6">
        <f t="shared" si="5"/>
        <v>3367.700833154001</v>
      </c>
      <c r="H27" s="6">
        <f>(1079708.1*1.10231)/1000</f>
        <v>1190.173035711</v>
      </c>
      <c r="I27" s="5">
        <f t="shared" si="6"/>
        <v>4557.873868865001</v>
      </c>
      <c r="J27" s="6">
        <v>349.10500000000002</v>
      </c>
      <c r="K27" s="103"/>
    </row>
    <row r="28" spans="1:12" ht="14.4">
      <c r="A28" s="15" t="s">
        <v>41</v>
      </c>
      <c r="B28" s="45">
        <f t="shared" si="7"/>
        <v>349.10500000000002</v>
      </c>
      <c r="C28" s="6">
        <v>4437.4089999999997</v>
      </c>
      <c r="D28" s="6">
        <f>(32194.3*1.10231)/1000</f>
        <v>35.488098832999995</v>
      </c>
      <c r="E28" s="6">
        <f t="shared" si="4"/>
        <v>4822.0020988329989</v>
      </c>
      <c r="F28" s="6"/>
      <c r="G28" s="6">
        <f t="shared" si="5"/>
        <v>3173.9462998459985</v>
      </c>
      <c r="H28" s="6">
        <f>(1081527.7*1.10231)/1000</f>
        <v>1192.1787989869997</v>
      </c>
      <c r="I28" s="5">
        <f t="shared" si="6"/>
        <v>4366.1250988329984</v>
      </c>
      <c r="J28" s="6">
        <v>455.87700000000001</v>
      </c>
      <c r="K28" s="103"/>
    </row>
    <row r="29" spans="1:12" ht="14.4">
      <c r="A29" s="15" t="s">
        <v>42</v>
      </c>
      <c r="B29" s="45">
        <f t="shared" si="7"/>
        <v>455.87700000000001</v>
      </c>
      <c r="C29" s="6">
        <v>4540.9090000000006</v>
      </c>
      <c r="D29" s="6">
        <f>(87357.8*1.10231)/1000</f>
        <v>96.295376517999983</v>
      </c>
      <c r="E29" s="6">
        <f t="shared" si="4"/>
        <v>5093.081376518001</v>
      </c>
      <c r="F29" s="6"/>
      <c r="G29" s="6">
        <f t="shared" si="5"/>
        <v>3101.8863894670012</v>
      </c>
      <c r="H29" s="6">
        <f>(1404622.1*1.10231)/1000</f>
        <v>1548.3289870509998</v>
      </c>
      <c r="I29" s="5">
        <f t="shared" si="6"/>
        <v>4650.215376518001</v>
      </c>
      <c r="J29" s="6">
        <v>442.86599999999999</v>
      </c>
      <c r="K29" s="103"/>
    </row>
    <row r="30" spans="1:12" ht="13.8">
      <c r="A30" s="15" t="s">
        <v>43</v>
      </c>
      <c r="B30" s="45">
        <f t="shared" si="7"/>
        <v>442.86599999999999</v>
      </c>
      <c r="C30" s="6">
        <v>4197.5839999999998</v>
      </c>
      <c r="D30" s="6">
        <f>(40187.2*1.10231)/1000</f>
        <v>44.298752431999993</v>
      </c>
      <c r="E30" s="6">
        <f t="shared" si="4"/>
        <v>4684.7487524319995</v>
      </c>
      <c r="F30" s="6"/>
      <c r="G30" s="6">
        <f t="shared" si="5"/>
        <v>3189.261751647</v>
      </c>
      <c r="H30" s="6">
        <f>(925173.5*1.10231)/1000</f>
        <v>1019.828000785</v>
      </c>
      <c r="I30" s="5">
        <f t="shared" si="6"/>
        <v>4209.0897524319998</v>
      </c>
      <c r="J30" s="6">
        <v>475.65899999999999</v>
      </c>
      <c r="K30" s="122"/>
    </row>
    <row r="31" spans="1:12" ht="14.4">
      <c r="A31" s="15" t="s">
        <v>45</v>
      </c>
      <c r="B31" s="45">
        <f t="shared" si="7"/>
        <v>475.65899999999999</v>
      </c>
      <c r="C31" s="6">
        <v>4698.1610000000001</v>
      </c>
      <c r="D31" s="6">
        <f>(43410.1*1.10231)/1000</f>
        <v>47.851387330999991</v>
      </c>
      <c r="E31" s="6">
        <f t="shared" si="4"/>
        <v>5221.671387331</v>
      </c>
      <c r="F31" s="6"/>
      <c r="G31" s="6">
        <f t="shared" si="5"/>
        <v>3369.7769356149997</v>
      </c>
      <c r="H31" s="6">
        <f>(1336143.6*1.10231)/1000</f>
        <v>1472.8444517160001</v>
      </c>
      <c r="I31" s="5">
        <f t="shared" si="6"/>
        <v>4842.6213873309998</v>
      </c>
      <c r="J31" s="6">
        <v>379.04999999999995</v>
      </c>
      <c r="K31" s="123"/>
    </row>
    <row r="32" spans="1:12" ht="14.4">
      <c r="A32" s="15" t="s">
        <v>46</v>
      </c>
      <c r="B32" s="45">
        <f t="shared" si="7"/>
        <v>379.04999999999995</v>
      </c>
      <c r="C32" s="6">
        <v>4433.6350000000002</v>
      </c>
      <c r="D32" s="6">
        <f>(25951.8*1.10231)/1000</f>
        <v>28.606928657999998</v>
      </c>
      <c r="E32" s="6">
        <f t="shared" si="4"/>
        <v>4841.291928658</v>
      </c>
      <c r="F32" s="6"/>
      <c r="G32" s="6">
        <f t="shared" si="5"/>
        <v>3019.334526696</v>
      </c>
      <c r="H32" s="6">
        <f>(1128650.2*1.10231)/1000</f>
        <v>1244.1224019619999</v>
      </c>
      <c r="I32" s="5">
        <f t="shared" si="6"/>
        <v>4263.4569286579999</v>
      </c>
      <c r="J32" s="6">
        <v>577.83499999999992</v>
      </c>
      <c r="K32" s="123"/>
    </row>
    <row r="33" spans="1:11" ht="14.4">
      <c r="A33" s="15" t="s">
        <v>47</v>
      </c>
      <c r="B33" s="45">
        <f>J32</f>
        <v>577.83499999999992</v>
      </c>
      <c r="C33" s="6">
        <v>4461.268</v>
      </c>
      <c r="D33" s="6">
        <f>(50047.9*1.10231)/1000</f>
        <v>55.168300648999995</v>
      </c>
      <c r="E33" s="6">
        <f t="shared" si="4"/>
        <v>5094.2713006490003</v>
      </c>
      <c r="F33" s="6"/>
      <c r="G33" s="6">
        <f t="shared" si="5"/>
        <v>3474.6210888970008</v>
      </c>
      <c r="H33" s="6">
        <f>(1080559.2*1.10231)/1000</f>
        <v>1191.1112117519997</v>
      </c>
      <c r="I33" s="5">
        <f t="shared" si="6"/>
        <v>4665.7323006490005</v>
      </c>
      <c r="J33" s="6">
        <v>428.53899999999999</v>
      </c>
      <c r="K33" s="123"/>
    </row>
    <row r="34" spans="1:11" ht="14.4">
      <c r="A34" s="14" t="s">
        <v>49</v>
      </c>
      <c r="B34" s="46">
        <f>J33</f>
        <v>428.53899999999999</v>
      </c>
      <c r="C34" s="136">
        <v>4152.3280000000004</v>
      </c>
      <c r="D34" s="136">
        <f>(47135.7*1.10231)/1000</f>
        <v>51.958153466999988</v>
      </c>
      <c r="E34" s="136">
        <f t="shared" si="4"/>
        <v>4632.8251534669998</v>
      </c>
      <c r="F34" s="136"/>
      <c r="G34" s="136">
        <f t="shared" si="5"/>
        <v>2878.4011494959996</v>
      </c>
      <c r="H34" s="136">
        <f>(1259954.1*1.10231)/1000</f>
        <v>1388.860003971</v>
      </c>
      <c r="I34" s="51">
        <f t="shared" si="6"/>
        <v>4267.2611534669995</v>
      </c>
      <c r="J34" s="136">
        <v>365.56400000000002</v>
      </c>
      <c r="K34" s="123"/>
    </row>
    <row r="35" spans="1:11" ht="16.2">
      <c r="A35" s="47" t="s">
        <v>67</v>
      </c>
      <c r="B35" s="15"/>
      <c r="C35" s="15"/>
      <c r="D35" s="15"/>
      <c r="E35" s="15"/>
      <c r="F35" s="15"/>
      <c r="G35" s="15"/>
      <c r="H35" s="15"/>
      <c r="I35" s="15"/>
      <c r="J35" s="15"/>
    </row>
    <row r="36" spans="1:11" ht="14.4">
      <c r="A36" s="15" t="s">
        <v>68</v>
      </c>
      <c r="B36" s="15"/>
      <c r="C36" s="15"/>
      <c r="D36" s="15"/>
      <c r="E36" s="15"/>
      <c r="F36" s="15"/>
      <c r="G36" s="15"/>
      <c r="H36" s="15"/>
      <c r="I36" s="15"/>
      <c r="J36" s="15"/>
    </row>
    <row r="37" spans="1:11" ht="13.8">
      <c r="A37" s="20" t="s">
        <v>56</v>
      </c>
      <c r="B37" s="41">
        <f>Contents!A16</f>
        <v>45153</v>
      </c>
      <c r="C37" s="38"/>
      <c r="D37" s="33"/>
      <c r="E37" s="33"/>
      <c r="F37" s="33"/>
      <c r="G37" s="33"/>
      <c r="H37" s="33"/>
      <c r="I37" s="33"/>
      <c r="J37" s="33"/>
    </row>
    <row r="38" spans="1:11">
      <c r="B38" s="48"/>
      <c r="C38" s="49"/>
      <c r="D38" s="48"/>
      <c r="E38" s="100"/>
      <c r="F38" s="48"/>
      <c r="G38" s="48"/>
      <c r="H38" s="50"/>
      <c r="I38" s="100"/>
      <c r="J38" s="48"/>
    </row>
    <row r="39" spans="1:11">
      <c r="B39" s="48"/>
      <c r="C39" s="48"/>
      <c r="D39" s="48"/>
      <c r="E39" s="48"/>
      <c r="F39" s="48"/>
      <c r="G39" s="48"/>
      <c r="H39" s="48"/>
      <c r="I39" s="48"/>
      <c r="J39" s="48"/>
    </row>
  </sheetData>
  <mergeCells count="3">
    <mergeCell ref="G2:I2"/>
    <mergeCell ref="B5:J5"/>
    <mergeCell ref="B2:E2"/>
  </mergeCells>
  <phoneticPr fontId="32" type="noConversion"/>
  <pageMargins left="0.75" right="0.75" top="1" bottom="1" header="0.5" footer="0.5"/>
  <pageSetup scale="8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8"/>
  <sheetViews>
    <sheetView showGridLines="0" zoomScale="70" zoomScaleNormal="70" workbookViewId="0">
      <selection activeCell="G44" sqref="G44"/>
    </sheetView>
  </sheetViews>
  <sheetFormatPr defaultColWidth="9.109375" defaultRowHeight="13.2"/>
  <cols>
    <col min="1" max="1" width="15.44140625" customWidth="1"/>
    <col min="2" max="2" width="12.33203125" bestFit="1" customWidth="1"/>
    <col min="3" max="3" width="12.109375" bestFit="1" customWidth="1"/>
    <col min="4" max="4" width="11" bestFit="1" customWidth="1"/>
    <col min="5" max="5" width="11.33203125" bestFit="1" customWidth="1"/>
    <col min="6" max="6" width="3.6640625" customWidth="1"/>
    <col min="7" max="7" width="11.5546875" bestFit="1" customWidth="1"/>
    <col min="8" max="8" width="12.33203125" customWidth="1"/>
    <col min="9" max="9" width="12.6640625" customWidth="1"/>
    <col min="10" max="10" width="9.6640625" bestFit="1" customWidth="1"/>
    <col min="11" max="11" width="11.5546875" bestFit="1" customWidth="1"/>
    <col min="12" max="12" width="12.5546875" bestFit="1" customWidth="1"/>
    <col min="14" max="14" width="11.109375" customWidth="1"/>
  </cols>
  <sheetData>
    <row r="1" spans="1:14" ht="13.8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4" ht="13.8">
      <c r="A2" s="15"/>
      <c r="B2" s="164" t="s">
        <v>57</v>
      </c>
      <c r="C2" s="164"/>
      <c r="D2" s="164"/>
      <c r="E2" s="164"/>
      <c r="F2" s="15"/>
      <c r="G2" s="164" t="s">
        <v>58</v>
      </c>
      <c r="H2" s="164"/>
      <c r="I2" s="164"/>
      <c r="J2" s="162"/>
      <c r="K2" s="162"/>
      <c r="L2" s="15"/>
    </row>
    <row r="3" spans="1:14" ht="13.8">
      <c r="A3" s="15" t="s">
        <v>17</v>
      </c>
      <c r="B3" s="17" t="s">
        <v>69</v>
      </c>
      <c r="C3" s="17" t="s">
        <v>26</v>
      </c>
      <c r="D3" s="17" t="s">
        <v>70</v>
      </c>
      <c r="E3" s="17" t="s">
        <v>62</v>
      </c>
      <c r="F3" s="17"/>
      <c r="G3" s="162" t="s">
        <v>63</v>
      </c>
      <c r="H3" s="162"/>
      <c r="I3" s="162"/>
      <c r="J3" s="17" t="s">
        <v>71</v>
      </c>
      <c r="K3" s="17" t="s">
        <v>62</v>
      </c>
      <c r="L3" s="17" t="s">
        <v>59</v>
      </c>
    </row>
    <row r="4" spans="1:14" ht="16.2">
      <c r="A4" s="21" t="s">
        <v>60</v>
      </c>
      <c r="B4" s="23" t="s">
        <v>61</v>
      </c>
      <c r="C4" s="24"/>
      <c r="D4" s="24"/>
      <c r="E4" s="24"/>
      <c r="F4" s="24"/>
      <c r="G4" s="23" t="s">
        <v>28</v>
      </c>
      <c r="H4" s="23" t="s">
        <v>72</v>
      </c>
      <c r="I4" s="23" t="s">
        <v>73</v>
      </c>
      <c r="J4" s="24"/>
      <c r="K4" s="24"/>
      <c r="L4" s="17" t="s">
        <v>65</v>
      </c>
    </row>
    <row r="5" spans="1:14" ht="14.4">
      <c r="A5" s="15"/>
      <c r="B5" s="166" t="s">
        <v>74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4" ht="16.2">
      <c r="A6" s="15" t="s">
        <v>75</v>
      </c>
      <c r="B6" s="44">
        <v>2131.2330000000002</v>
      </c>
      <c r="C6" s="44">
        <f>C23</f>
        <v>26155.173000000003</v>
      </c>
      <c r="D6" s="44">
        <f>D23</f>
        <v>302.9653281816</v>
      </c>
      <c r="E6" s="44">
        <f>E23</f>
        <v>28589.371328181602</v>
      </c>
      <c r="F6" s="44"/>
      <c r="G6" s="44">
        <f>K6-J6</f>
        <v>24827.303827434</v>
      </c>
      <c r="H6" s="44">
        <v>10348.19</v>
      </c>
      <c r="I6" s="32">
        <f>G6-H6</f>
        <v>14479.113827433999</v>
      </c>
      <c r="J6" s="44">
        <f>J23</f>
        <v>1770.9195007476001</v>
      </c>
      <c r="K6" s="44">
        <f>E6-L6</f>
        <v>26598.223328181601</v>
      </c>
      <c r="L6" s="44">
        <f>L22</f>
        <v>1991.1480000000001</v>
      </c>
    </row>
    <row r="7" spans="1:14" ht="16.2">
      <c r="A7" s="15" t="s">
        <v>76</v>
      </c>
      <c r="B7" s="44">
        <f>L6</f>
        <v>1991.1480000000001</v>
      </c>
      <c r="C7" s="44">
        <v>26265</v>
      </c>
      <c r="D7" s="44">
        <v>375</v>
      </c>
      <c r="E7" s="44">
        <f>SUM(B7:D7)</f>
        <v>28631.148000000001</v>
      </c>
      <c r="F7" s="44"/>
      <c r="G7" s="44">
        <f>SUM(H7:I7)</f>
        <v>26350</v>
      </c>
      <c r="H7" s="44">
        <v>11700</v>
      </c>
      <c r="I7" s="32">
        <v>14650</v>
      </c>
      <c r="J7" s="44">
        <v>400</v>
      </c>
      <c r="K7" s="44">
        <f>G7+J7</f>
        <v>26750</v>
      </c>
      <c r="L7" s="44">
        <f>E7-K7</f>
        <v>1881.148000000001</v>
      </c>
    </row>
    <row r="8" spans="1:14" ht="16.2">
      <c r="A8" s="15" t="s">
        <v>36</v>
      </c>
      <c r="B8" s="44">
        <f>L7</f>
        <v>1881.148000000001</v>
      </c>
      <c r="C8" s="44">
        <v>27025</v>
      </c>
      <c r="D8" s="44">
        <v>375</v>
      </c>
      <c r="E8" s="44">
        <f>SUM(B8:D8)</f>
        <v>29281.148000000001</v>
      </c>
      <c r="F8" s="44"/>
      <c r="G8" s="44">
        <f>SUM(H8:I8)</f>
        <v>27050</v>
      </c>
      <c r="H8" s="44">
        <v>12500</v>
      </c>
      <c r="I8" s="32">
        <v>14550</v>
      </c>
      <c r="J8" s="44">
        <v>400</v>
      </c>
      <c r="K8" s="44">
        <f>G8+J8</f>
        <v>27450</v>
      </c>
      <c r="L8" s="44">
        <f>E8-K8</f>
        <v>1831.148000000001</v>
      </c>
    </row>
    <row r="9" spans="1:14" ht="13.8">
      <c r="A9" s="15"/>
      <c r="B9" s="44"/>
      <c r="C9" s="44"/>
      <c r="D9" s="44"/>
      <c r="E9" s="44"/>
      <c r="F9" s="44"/>
      <c r="G9" s="44"/>
      <c r="H9" s="44"/>
      <c r="I9" s="97"/>
      <c r="J9" s="44"/>
      <c r="K9" s="44"/>
      <c r="L9" s="44"/>
    </row>
    <row r="10" spans="1:14" ht="13.8">
      <c r="A10" s="35" t="s">
        <v>34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14" ht="13.8">
      <c r="A11" s="15" t="s">
        <v>38</v>
      </c>
      <c r="B11" s="5">
        <f>B6</f>
        <v>2131.2330000000002</v>
      </c>
      <c r="C11" s="6">
        <v>2347.58</v>
      </c>
      <c r="D11" s="6">
        <f>(16251.7*2204.622)/1000000</f>
        <v>35.828855357400002</v>
      </c>
      <c r="E11" s="6">
        <f t="shared" ref="E11:E15" si="0">SUM(B11:D11)</f>
        <v>4514.6418553574003</v>
      </c>
      <c r="F11" s="5"/>
      <c r="G11" s="5">
        <f t="shared" ref="G11:G22" si="1">K11-J11</f>
        <v>2071.2935508996002</v>
      </c>
      <c r="H11" s="6">
        <v>832.42700000000002</v>
      </c>
      <c r="I11" s="6">
        <f t="shared" ref="I11:I22" si="2">G11-H11</f>
        <v>1238.8665508996</v>
      </c>
      <c r="J11" s="6">
        <f>(25859.9*2204.622)/1000000</f>
        <v>57.011304457800001</v>
      </c>
      <c r="K11" s="6">
        <f t="shared" ref="K11:K22" si="3">E11-L11</f>
        <v>2128.3048553574004</v>
      </c>
      <c r="L11" s="5">
        <v>2386.337</v>
      </c>
      <c r="N11" s="107"/>
    </row>
    <row r="12" spans="1:14" ht="13.8">
      <c r="A12" s="15" t="s">
        <v>39</v>
      </c>
      <c r="B12" s="5">
        <f t="shared" ref="B12:B22" si="4">L11</f>
        <v>2386.337</v>
      </c>
      <c r="C12" s="6">
        <v>2235.37</v>
      </c>
      <c r="D12" s="6">
        <f>(15479.7*2204.622)/1000000</f>
        <v>34.1268871734</v>
      </c>
      <c r="E12" s="6">
        <f t="shared" si="0"/>
        <v>4655.8338871734004</v>
      </c>
      <c r="F12" s="5"/>
      <c r="G12" s="5">
        <f t="shared" si="1"/>
        <v>2020.5919628710003</v>
      </c>
      <c r="H12" s="6">
        <v>818.01271279999992</v>
      </c>
      <c r="I12" s="6">
        <f t="shared" si="2"/>
        <v>1202.5792500710004</v>
      </c>
      <c r="J12" s="6">
        <f>(103999.2*2204.622)/1000000</f>
        <v>229.27892430239996</v>
      </c>
      <c r="K12" s="6">
        <f t="shared" si="3"/>
        <v>2249.8708871734002</v>
      </c>
      <c r="L12" s="5">
        <v>2405.9630000000002</v>
      </c>
      <c r="N12" s="107"/>
    </row>
    <row r="13" spans="1:14" ht="13.8">
      <c r="A13" s="15" t="s">
        <v>41</v>
      </c>
      <c r="B13" s="5">
        <f t="shared" si="4"/>
        <v>2405.9630000000002</v>
      </c>
      <c r="C13" s="6">
        <v>2324.183</v>
      </c>
      <c r="D13" s="6">
        <f>(14315.6*2204.622)/1000000</f>
        <v>31.560486703199999</v>
      </c>
      <c r="E13" s="6">
        <f t="shared" si="0"/>
        <v>4761.7064867032004</v>
      </c>
      <c r="F13" s="55"/>
      <c r="G13" s="5">
        <f t="shared" si="1"/>
        <v>2130.6668117588006</v>
      </c>
      <c r="H13" s="6">
        <v>938.34100000000001</v>
      </c>
      <c r="I13" s="6">
        <f t="shared" si="2"/>
        <v>1192.3258117588007</v>
      </c>
      <c r="J13" s="6">
        <f>(74910.2*2204.622)/1000000</f>
        <v>165.14867494439997</v>
      </c>
      <c r="K13" s="6">
        <f t="shared" si="3"/>
        <v>2295.8154867032003</v>
      </c>
      <c r="L13" s="5">
        <v>2465.8910000000001</v>
      </c>
      <c r="N13" s="107"/>
    </row>
    <row r="14" spans="1:14" ht="13.8">
      <c r="A14" s="15" t="s">
        <v>42</v>
      </c>
      <c r="B14" s="5">
        <f t="shared" si="4"/>
        <v>2465.8910000000001</v>
      </c>
      <c r="C14" s="6">
        <v>2277.355</v>
      </c>
      <c r="D14" s="6">
        <f>(7350.9*2204.622)/1000000</f>
        <v>16.2059558598</v>
      </c>
      <c r="E14" s="6">
        <f t="shared" si="0"/>
        <v>4759.4519558598004</v>
      </c>
      <c r="F14" s="55"/>
      <c r="G14" s="5">
        <f t="shared" si="1"/>
        <v>1975.3277087556003</v>
      </c>
      <c r="H14" s="6">
        <v>791.38699999999994</v>
      </c>
      <c r="I14" s="6">
        <f t="shared" si="2"/>
        <v>1183.9407087556003</v>
      </c>
      <c r="J14" s="6">
        <f>(128911.1*2204.622)/1000000</f>
        <v>284.2002471042</v>
      </c>
      <c r="K14" s="6">
        <f t="shared" si="3"/>
        <v>2259.5279558598004</v>
      </c>
      <c r="L14" s="5">
        <v>2499.924</v>
      </c>
      <c r="N14" s="107"/>
    </row>
    <row r="15" spans="1:14" ht="13.8">
      <c r="A15" s="15" t="s">
        <v>43</v>
      </c>
      <c r="B15" s="5">
        <f t="shared" si="4"/>
        <v>2499.924</v>
      </c>
      <c r="C15" s="6">
        <v>2064.1990000000001</v>
      </c>
      <c r="D15" s="6">
        <f>(9698.9*2204.622)/1000000</f>
        <v>21.382408315799996</v>
      </c>
      <c r="E15" s="6">
        <f t="shared" si="0"/>
        <v>4585.5054083157993</v>
      </c>
      <c r="F15" s="55"/>
      <c r="G15" s="5">
        <f t="shared" si="1"/>
        <v>1784.6374709481993</v>
      </c>
      <c r="H15" s="6">
        <v>740.60299999999995</v>
      </c>
      <c r="I15" s="6">
        <f t="shared" si="2"/>
        <v>1044.0344709481992</v>
      </c>
      <c r="J15" s="6">
        <f>(106485.8*2204.622)/1000000</f>
        <v>234.76093736760001</v>
      </c>
      <c r="K15" s="6">
        <f t="shared" si="3"/>
        <v>2019.3984083157993</v>
      </c>
      <c r="L15" s="5">
        <v>2566.107</v>
      </c>
      <c r="N15" s="107"/>
    </row>
    <row r="16" spans="1:14" ht="13.8">
      <c r="A16" s="15" t="s">
        <v>45</v>
      </c>
      <c r="B16" s="5">
        <f t="shared" si="4"/>
        <v>2566.107</v>
      </c>
      <c r="C16" s="6">
        <v>2277.5410000000002</v>
      </c>
      <c r="D16" s="6">
        <f>(10065.2*2204.622)/1000000</f>
        <v>22.189961354400001</v>
      </c>
      <c r="E16" s="6">
        <f t="shared" ref="E16:E22" si="5">SUM(B16:D16)</f>
        <v>4865.8379613544002</v>
      </c>
      <c r="F16" s="55"/>
      <c r="G16" s="5">
        <f t="shared" si="1"/>
        <v>2155.9277832030002</v>
      </c>
      <c r="H16" s="6">
        <v>908.29</v>
      </c>
      <c r="I16" s="6">
        <f t="shared" si="2"/>
        <v>1247.6377832030003</v>
      </c>
      <c r="J16" s="6">
        <f>(125278.7*2204.622)/1000000</f>
        <v>276.19217815139996</v>
      </c>
      <c r="K16" s="6">
        <f t="shared" si="3"/>
        <v>2432.1199613543999</v>
      </c>
      <c r="L16" s="5">
        <v>2433.7180000000003</v>
      </c>
      <c r="N16" s="107"/>
    </row>
    <row r="17" spans="1:14" ht="13.8">
      <c r="A17" s="15" t="s">
        <v>46</v>
      </c>
      <c r="B17" s="5">
        <f t="shared" si="4"/>
        <v>2433.7180000000003</v>
      </c>
      <c r="C17" s="6">
        <v>2143.1179999999999</v>
      </c>
      <c r="D17" s="6">
        <f>(10661.9*2204.622)/1000000</f>
        <v>23.505459301799998</v>
      </c>
      <c r="E17" s="6">
        <f t="shared" si="5"/>
        <v>4600.3414593018006</v>
      </c>
      <c r="F17" s="55"/>
      <c r="G17" s="5">
        <f t="shared" si="1"/>
        <v>2018.5597328586007</v>
      </c>
      <c r="H17" s="6">
        <v>838.9</v>
      </c>
      <c r="I17" s="6">
        <f t="shared" si="2"/>
        <v>1179.6597328586008</v>
      </c>
      <c r="J17" s="6">
        <f>(71485.6*2204.622)/1000000</f>
        <v>157.59872644319998</v>
      </c>
      <c r="K17" s="6">
        <f t="shared" si="3"/>
        <v>2176.1584593018006</v>
      </c>
      <c r="L17" s="5">
        <v>2424.183</v>
      </c>
      <c r="N17" s="107"/>
    </row>
    <row r="18" spans="1:14" ht="13.8">
      <c r="A18" s="15" t="s">
        <v>47</v>
      </c>
      <c r="B18" s="5">
        <f t="shared" si="4"/>
        <v>2424.183</v>
      </c>
      <c r="C18" s="6">
        <v>2158.7739999999999</v>
      </c>
      <c r="D18" s="108">
        <f>(11291.8*2204.622)/1000000</f>
        <v>24.894150699599997</v>
      </c>
      <c r="E18" s="6">
        <f t="shared" si="5"/>
        <v>4607.8511506996001</v>
      </c>
      <c r="F18" s="55"/>
      <c r="G18" s="5">
        <f t="shared" si="1"/>
        <v>2149.5948740757999</v>
      </c>
      <c r="H18" s="6">
        <v>855.57100000000003</v>
      </c>
      <c r="I18" s="6">
        <f t="shared" si="2"/>
        <v>1294.0238740758</v>
      </c>
      <c r="J18" s="108">
        <f>(33512.9*2204.622)/1000000</f>
        <v>73.8832766238</v>
      </c>
      <c r="K18" s="6">
        <f t="shared" si="3"/>
        <v>2223.4781506996001</v>
      </c>
      <c r="L18" s="5">
        <v>2384.373</v>
      </c>
      <c r="N18" s="107"/>
    </row>
    <row r="19" spans="1:14" ht="13.8">
      <c r="A19" s="15" t="s">
        <v>49</v>
      </c>
      <c r="B19" s="5">
        <f t="shared" si="4"/>
        <v>2384.373</v>
      </c>
      <c r="C19" s="6">
        <v>2068.578</v>
      </c>
      <c r="D19" s="108">
        <f>(10963.6*2204.622)/1000000</f>
        <v>24.170593759199999</v>
      </c>
      <c r="E19" s="6">
        <f t="shared" si="5"/>
        <v>4477.1215937591996</v>
      </c>
      <c r="F19" s="55"/>
      <c r="G19" s="5">
        <f t="shared" si="1"/>
        <v>2088.6787772001999</v>
      </c>
      <c r="H19" s="6">
        <v>809.79899999999998</v>
      </c>
      <c r="I19" s="6">
        <f t="shared" si="2"/>
        <v>1278.8797772001999</v>
      </c>
      <c r="J19" s="108">
        <f>(33084.5*2204.622)/1000000</f>
        <v>72.938816559000003</v>
      </c>
      <c r="K19" s="6">
        <f t="shared" si="3"/>
        <v>2161.6175937591997</v>
      </c>
      <c r="L19" s="5">
        <v>2315.5039999999999</v>
      </c>
    </row>
    <row r="20" spans="1:14" ht="13.8">
      <c r="A20" s="15" t="s">
        <v>50</v>
      </c>
      <c r="B20" s="5">
        <f t="shared" si="4"/>
        <v>2315.5039999999999</v>
      </c>
      <c r="C20" s="6">
        <v>2169.9299999999998</v>
      </c>
      <c r="D20" s="108">
        <f>(11379.9*2204.622)/1000000</f>
        <v>25.088377897799997</v>
      </c>
      <c r="E20" s="6">
        <f t="shared" si="5"/>
        <v>4510.5223778977988</v>
      </c>
      <c r="F20" s="55"/>
      <c r="G20" s="5">
        <f t="shared" si="1"/>
        <v>2125.602306053599</v>
      </c>
      <c r="H20" s="6">
        <v>956.48800000000006</v>
      </c>
      <c r="I20" s="6">
        <f t="shared" si="2"/>
        <v>1169.114306053599</v>
      </c>
      <c r="J20" s="108">
        <f>(53581.1*2204.622)/1000000</f>
        <v>118.12607184419998</v>
      </c>
      <c r="K20" s="6">
        <f t="shared" si="3"/>
        <v>2243.728377897799</v>
      </c>
      <c r="L20" s="5">
        <v>2266.7939999999999</v>
      </c>
    </row>
    <row r="21" spans="1:14" ht="13.8">
      <c r="A21" s="15" t="s">
        <v>51</v>
      </c>
      <c r="B21" s="5">
        <f t="shared" si="4"/>
        <v>2266.7939999999999</v>
      </c>
      <c r="C21" s="6">
        <v>2095.5810000000001</v>
      </c>
      <c r="D21" s="108">
        <f>(9635.1*2204.622)/1000000</f>
        <v>21.241753432199999</v>
      </c>
      <c r="E21" s="6">
        <f t="shared" si="5"/>
        <v>4383.6167534322003</v>
      </c>
      <c r="F21" s="55"/>
      <c r="G21" s="5">
        <f t="shared" si="1"/>
        <v>2223.0527249938004</v>
      </c>
      <c r="H21" s="6">
        <v>924.71799999999996</v>
      </c>
      <c r="I21" s="6">
        <f t="shared" si="2"/>
        <v>1298.3347249938006</v>
      </c>
      <c r="J21" s="108">
        <f>(25787.2*2204.622)/1000000</f>
        <v>56.8510284384</v>
      </c>
      <c r="K21" s="6">
        <f t="shared" si="3"/>
        <v>2279.9037534322006</v>
      </c>
      <c r="L21" s="5">
        <v>2103.7129999999997</v>
      </c>
    </row>
    <row r="22" spans="1:14" ht="13.8">
      <c r="A22" s="15" t="s">
        <v>37</v>
      </c>
      <c r="B22" s="5">
        <f t="shared" si="4"/>
        <v>2103.7129999999997</v>
      </c>
      <c r="C22" s="6">
        <v>1992.9639999999999</v>
      </c>
      <c r="D22" s="108">
        <f>(10328.5*2204.622)/1000000</f>
        <v>22.770438327000001</v>
      </c>
      <c r="E22" s="6">
        <f t="shared" si="5"/>
        <v>4119.4474383269999</v>
      </c>
      <c r="F22" s="55"/>
      <c r="G22" s="5">
        <f t="shared" si="1"/>
        <v>2083.3701238157996</v>
      </c>
      <c r="H22" s="6">
        <v>933.65499999999997</v>
      </c>
      <c r="I22" s="6">
        <f t="shared" si="2"/>
        <v>1149.7151238157996</v>
      </c>
      <c r="J22" s="108">
        <f>(20379.6*2204.622)/1000000</f>
        <v>44.929314511199998</v>
      </c>
      <c r="K22" s="6">
        <f t="shared" si="3"/>
        <v>2128.2994383269997</v>
      </c>
      <c r="L22" s="5">
        <v>1991.1480000000001</v>
      </c>
    </row>
    <row r="23" spans="1:14" ht="13.8">
      <c r="A23" s="15" t="s">
        <v>28</v>
      </c>
      <c r="B23" s="5"/>
      <c r="C23" s="6">
        <f>SUM(C11:C22)</f>
        <v>26155.173000000003</v>
      </c>
      <c r="D23" s="6">
        <f>(137422.8*2204.622)/1000000</f>
        <v>302.9653281816</v>
      </c>
      <c r="E23" s="6">
        <f>B11+C23+D23</f>
        <v>28589.371328181602</v>
      </c>
      <c r="F23" s="5"/>
      <c r="G23" s="5">
        <f>SUM(G11:G22)</f>
        <v>24827.303827433996</v>
      </c>
      <c r="H23" s="6">
        <f>SUM(H11:H22)</f>
        <v>10348.1917128</v>
      </c>
      <c r="I23" s="6">
        <f>SUM(I11:I22)</f>
        <v>14479.112114634001</v>
      </c>
      <c r="J23" s="6">
        <f>(803275.8*2204.622)/1000000</f>
        <v>1770.9195007476001</v>
      </c>
      <c r="K23" s="5">
        <f>SUM(K11:K22)</f>
        <v>26598.223328181601</v>
      </c>
      <c r="L23" s="5"/>
    </row>
    <row r="24" spans="1:14" ht="13.8">
      <c r="A24" s="15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</row>
    <row r="25" spans="1:14" ht="13.8">
      <c r="A25" s="35" t="s">
        <v>53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</row>
    <row r="26" spans="1:14" ht="13.8">
      <c r="A26" s="15" t="s">
        <v>38</v>
      </c>
      <c r="B26" s="5">
        <f>L22</f>
        <v>1991.1480000000001</v>
      </c>
      <c r="C26" s="6">
        <v>2338.085</v>
      </c>
      <c r="D26" s="6">
        <f>(13491.4*2204.622)/1000000</f>
        <v>29.7434372508</v>
      </c>
      <c r="E26" s="6">
        <f t="shared" ref="E26:E33" si="6">SUM(B26:D26)</f>
        <v>4358.9764372507998</v>
      </c>
      <c r="F26" s="5"/>
      <c r="G26" s="5">
        <f t="shared" ref="G26:G34" si="7">K26-J26</f>
        <v>2241.8177746275996</v>
      </c>
      <c r="H26" s="6">
        <v>906.40899999999999</v>
      </c>
      <c r="I26" s="6">
        <f t="shared" ref="I26:I33" si="8">G26-H26</f>
        <v>1335.4087746275995</v>
      </c>
      <c r="J26" s="6">
        <f>(10675.6*2204.622)/1000000</f>
        <v>23.5356626232</v>
      </c>
      <c r="K26" s="6">
        <f t="shared" ref="K26:K33" si="9">E26-L26</f>
        <v>2265.3534372507997</v>
      </c>
      <c r="L26" s="5">
        <v>2093.623</v>
      </c>
    </row>
    <row r="27" spans="1:14" ht="13.8">
      <c r="A27" s="15" t="s">
        <v>39</v>
      </c>
      <c r="B27" s="5">
        <f t="shared" ref="B27:B34" si="10">L26</f>
        <v>2093.623</v>
      </c>
      <c r="C27" s="6">
        <v>2199.962</v>
      </c>
      <c r="D27" s="6">
        <f>(11744.6*2204.622)/1000000</f>
        <v>25.8924035412</v>
      </c>
      <c r="E27" s="6">
        <f t="shared" si="6"/>
        <v>4319.4774035412001</v>
      </c>
      <c r="F27" s="5"/>
      <c r="G27" s="5">
        <f t="shared" si="7"/>
        <v>2183.7493667224003</v>
      </c>
      <c r="H27" s="6">
        <v>943.34192259999998</v>
      </c>
      <c r="I27" s="6">
        <f t="shared" si="8"/>
        <v>1240.4074441224002</v>
      </c>
      <c r="J27" s="6">
        <f>(10635.4*2204.622)/1000000</f>
        <v>23.447036818799997</v>
      </c>
      <c r="K27" s="6">
        <f t="shared" si="9"/>
        <v>2207.1964035412002</v>
      </c>
      <c r="L27" s="5">
        <v>2112.2809999999999</v>
      </c>
    </row>
    <row r="28" spans="1:14" ht="13.8">
      <c r="A28" s="15" t="s">
        <v>41</v>
      </c>
      <c r="B28" s="5">
        <f t="shared" si="10"/>
        <v>2112.2809999999999</v>
      </c>
      <c r="C28" s="6">
        <v>2195.3580000000002</v>
      </c>
      <c r="D28" s="6">
        <f>(10252.4*2204.622)/1000000</f>
        <v>22.602666592799999</v>
      </c>
      <c r="E28" s="6">
        <f t="shared" si="6"/>
        <v>4330.2416665928004</v>
      </c>
      <c r="F28" s="5"/>
      <c r="G28" s="5">
        <f t="shared" si="7"/>
        <v>1989.2481907986005</v>
      </c>
      <c r="H28" s="6">
        <v>885.4429075999999</v>
      </c>
      <c r="I28" s="6">
        <f t="shared" si="8"/>
        <v>1103.8052831986006</v>
      </c>
      <c r="J28" s="6">
        <f>(15806.1*2204.622)/1000000</f>
        <v>34.846475794199996</v>
      </c>
      <c r="K28" s="6">
        <f t="shared" si="9"/>
        <v>2024.0946665928004</v>
      </c>
      <c r="L28" s="5">
        <v>2306.1469999999999</v>
      </c>
    </row>
    <row r="29" spans="1:14" ht="13.8">
      <c r="A29" s="15" t="s">
        <v>42</v>
      </c>
      <c r="B29" s="5">
        <f t="shared" si="10"/>
        <v>2306.1469999999999</v>
      </c>
      <c r="C29" s="6">
        <v>2252.3119999999999</v>
      </c>
      <c r="D29" s="6">
        <f>(11450.2*2204.622)/1000000</f>
        <v>25.243362824400002</v>
      </c>
      <c r="E29" s="6">
        <f t="shared" si="6"/>
        <v>4583.7023628243996</v>
      </c>
      <c r="F29" s="5"/>
      <c r="G29" s="5">
        <f t="shared" si="7"/>
        <v>2211.8930392041998</v>
      </c>
      <c r="H29" s="6">
        <v>940.87400000000002</v>
      </c>
      <c r="I29" s="6">
        <f t="shared" si="8"/>
        <v>1271.0190392041998</v>
      </c>
      <c r="J29" s="6">
        <f>(6989.1*2204.622)/1000000</f>
        <v>15.408323620199999</v>
      </c>
      <c r="K29" s="6">
        <f t="shared" si="9"/>
        <v>2227.3013628243998</v>
      </c>
      <c r="L29" s="5">
        <v>2356.4009999999998</v>
      </c>
    </row>
    <row r="30" spans="1:14" ht="13.8">
      <c r="A30" s="15" t="s">
        <v>43</v>
      </c>
      <c r="B30" s="5">
        <f t="shared" si="10"/>
        <v>2356.4009999999998</v>
      </c>
      <c r="C30" s="6">
        <v>2091.2179999999998</v>
      </c>
      <c r="D30" s="6">
        <f>(15213.2*2204.622)/1000000</f>
        <v>33.539355410399999</v>
      </c>
      <c r="E30" s="6">
        <f t="shared" si="6"/>
        <v>4481.1583554104</v>
      </c>
      <c r="F30" s="5"/>
      <c r="G30" s="5">
        <f t="shared" si="7"/>
        <v>2091.4034745958002</v>
      </c>
      <c r="H30" s="6">
        <v>909.98699999999997</v>
      </c>
      <c r="I30" s="6">
        <f t="shared" si="8"/>
        <v>1181.4164745958001</v>
      </c>
      <c r="J30" s="6">
        <f>(11774.3*2204.622)/1000000</f>
        <v>25.957880814599999</v>
      </c>
      <c r="K30" s="6">
        <f t="shared" si="9"/>
        <v>2117.3613554103999</v>
      </c>
      <c r="L30" s="5">
        <v>2363.797</v>
      </c>
    </row>
    <row r="31" spans="1:14" ht="13.8">
      <c r="A31" s="15" t="s">
        <v>45</v>
      </c>
      <c r="B31" s="5">
        <f t="shared" si="10"/>
        <v>2363.797</v>
      </c>
      <c r="C31" s="6">
        <v>2339.5810000000001</v>
      </c>
      <c r="D31" s="6">
        <f>(15180.8*2204.622)/1000000</f>
        <v>33.467925657599999</v>
      </c>
      <c r="E31" s="6">
        <f t="shared" si="6"/>
        <v>4736.8459256576007</v>
      </c>
      <c r="F31" s="5"/>
      <c r="G31" s="5">
        <f t="shared" si="7"/>
        <v>2336.5298038548008</v>
      </c>
      <c r="H31" s="6">
        <v>952.70299999999997</v>
      </c>
      <c r="I31" s="6">
        <f t="shared" si="8"/>
        <v>1383.8268038548008</v>
      </c>
      <c r="J31" s="6">
        <f>(5807.4*2204.622)/1000000</f>
        <v>12.803121802799998</v>
      </c>
      <c r="K31" s="6">
        <f t="shared" si="9"/>
        <v>2349.3329256576008</v>
      </c>
      <c r="L31" s="5">
        <v>2387.5129999999999</v>
      </c>
    </row>
    <row r="32" spans="1:14" ht="13.8">
      <c r="A32" s="15" t="s">
        <v>46</v>
      </c>
      <c r="B32" s="5">
        <f t="shared" si="10"/>
        <v>2387.5129999999999</v>
      </c>
      <c r="C32" s="6">
        <v>2236.3009999999999</v>
      </c>
      <c r="D32" s="6">
        <f>(15750.7*2204.622)/1000000</f>
        <v>34.724339735400001</v>
      </c>
      <c r="E32" s="6">
        <f t="shared" si="6"/>
        <v>4658.5383397353999</v>
      </c>
      <c r="F32" s="5"/>
      <c r="G32" s="5">
        <f t="shared" si="7"/>
        <v>2058.2364235171999</v>
      </c>
      <c r="H32" s="6">
        <v>926.59799999999996</v>
      </c>
      <c r="I32" s="6">
        <f t="shared" si="8"/>
        <v>1131.6384235172</v>
      </c>
      <c r="J32" s="6">
        <f>(27498.1*2204.622)/1000000</f>
        <v>60.62291621819999</v>
      </c>
      <c r="K32" s="6">
        <f t="shared" si="9"/>
        <v>2118.8593397353998</v>
      </c>
      <c r="L32" s="5">
        <v>2539.6790000000001</v>
      </c>
    </row>
    <row r="33" spans="1:12" ht="13.8">
      <c r="A33" s="15" t="s">
        <v>47</v>
      </c>
      <c r="B33" s="5">
        <f t="shared" si="10"/>
        <v>2539.6790000000001</v>
      </c>
      <c r="C33" s="6">
        <v>2228.3719999999998</v>
      </c>
      <c r="D33" s="6">
        <f>(24574.7*2204.622)/1000000</f>
        <v>54.177924263399994</v>
      </c>
      <c r="E33" s="6">
        <f t="shared" si="6"/>
        <v>4822.2289242633997</v>
      </c>
      <c r="F33" s="5"/>
      <c r="G33" s="5">
        <f t="shared" si="7"/>
        <v>2385.7924694315993</v>
      </c>
      <c r="H33" s="6">
        <v>1140.8710000000001</v>
      </c>
      <c r="I33" s="6">
        <f t="shared" si="8"/>
        <v>1244.9214694315992</v>
      </c>
      <c r="J33" s="6">
        <f>(22776.9*2204.622)/1000000</f>
        <v>50.214454831799998</v>
      </c>
      <c r="K33" s="6">
        <f t="shared" si="9"/>
        <v>2436.0069242633995</v>
      </c>
      <c r="L33" s="5">
        <v>2386.2220000000002</v>
      </c>
    </row>
    <row r="34" spans="1:12" ht="13.8">
      <c r="A34" s="14" t="s">
        <v>49</v>
      </c>
      <c r="B34" s="51">
        <f t="shared" si="10"/>
        <v>2386.2220000000002</v>
      </c>
      <c r="C34" s="136">
        <v>2074.857</v>
      </c>
      <c r="D34" s="136">
        <f>(7900.8*2204.622)/1000000</f>
        <v>17.418277497600002</v>
      </c>
      <c r="E34" s="136">
        <f>SUM(B34:D34)</f>
        <v>4478.4972774975995</v>
      </c>
      <c r="F34" s="51"/>
      <c r="G34" s="51">
        <f t="shared" si="7"/>
        <v>2235.5639103903995</v>
      </c>
      <c r="H34" s="136" t="s">
        <v>77</v>
      </c>
      <c r="I34" s="136" t="s">
        <v>77</v>
      </c>
      <c r="J34" s="136">
        <f>(18097.6*2204.622)/1000000</f>
        <v>39.898367107199995</v>
      </c>
      <c r="K34" s="136">
        <f>E34-L34</f>
        <v>2275.4622774975996</v>
      </c>
      <c r="L34" s="51">
        <v>2203.0349999999999</v>
      </c>
    </row>
    <row r="35" spans="1:12" ht="16.2">
      <c r="A35" s="47" t="s">
        <v>78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14.4">
      <c r="A36" s="15" t="s">
        <v>68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3.8">
      <c r="A37" s="20" t="s">
        <v>56</v>
      </c>
      <c r="B37" s="41">
        <f>Contents!A16</f>
        <v>45153</v>
      </c>
      <c r="K37" s="39"/>
    </row>
    <row r="38" spans="1:12">
      <c r="E38" s="39"/>
    </row>
  </sheetData>
  <mergeCells count="3">
    <mergeCell ref="B5:L5"/>
    <mergeCell ref="G2:I2"/>
    <mergeCell ref="B2:E2"/>
  </mergeCells>
  <phoneticPr fontId="32" type="noConversion"/>
  <pageMargins left="0.75" right="0.75" top="1" bottom="1" header="0.5" footer="0.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="70" zoomScaleNormal="70" workbookViewId="0"/>
  </sheetViews>
  <sheetFormatPr defaultColWidth="9.109375" defaultRowHeight="13.2"/>
  <cols>
    <col min="1" max="1" width="15.33203125" customWidth="1"/>
    <col min="2" max="2" width="13.109375" customWidth="1"/>
    <col min="3" max="3" width="12.109375" customWidth="1"/>
    <col min="4" max="4" width="13.44140625" customWidth="1"/>
    <col min="5" max="5" width="15.33203125" customWidth="1"/>
    <col min="6" max="6" width="11.44140625" customWidth="1"/>
    <col min="7" max="7" width="11.6640625" customWidth="1"/>
    <col min="8" max="8" width="8.6640625" customWidth="1"/>
    <col min="9" max="9" width="9.6640625" customWidth="1"/>
    <col min="10" max="11" width="7.6640625" customWidth="1"/>
    <col min="12" max="12" width="8.5546875" customWidth="1"/>
    <col min="13" max="13" width="9.5546875" customWidth="1"/>
    <col min="14" max="14" width="7.5546875" customWidth="1"/>
    <col min="15" max="15" width="8.33203125" bestFit="1" customWidth="1"/>
    <col min="19" max="19" width="17.44140625" bestFit="1" customWidth="1"/>
    <col min="21" max="21" width="28.33203125" bestFit="1" customWidth="1"/>
  </cols>
  <sheetData>
    <row r="1" spans="1:15" ht="13.8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</row>
    <row r="2" spans="1:15" ht="13.8">
      <c r="A2" s="15"/>
      <c r="B2" s="164" t="s">
        <v>57</v>
      </c>
      <c r="C2" s="164"/>
      <c r="D2" s="164"/>
      <c r="E2" s="164"/>
      <c r="F2" s="80"/>
      <c r="G2" s="164" t="s">
        <v>58</v>
      </c>
      <c r="H2" s="164"/>
      <c r="I2" s="164"/>
      <c r="J2" s="164"/>
      <c r="K2" s="80"/>
      <c r="L2" s="15"/>
      <c r="M2" s="15"/>
      <c r="N2" s="15"/>
      <c r="O2" s="15"/>
    </row>
    <row r="3" spans="1:15" ht="13.8">
      <c r="A3" s="15" t="s">
        <v>17</v>
      </c>
      <c r="B3" s="20" t="s">
        <v>69</v>
      </c>
      <c r="C3" s="20"/>
      <c r="D3" s="20"/>
      <c r="E3" s="20"/>
      <c r="F3" s="20"/>
      <c r="G3" s="20"/>
      <c r="H3" s="20"/>
      <c r="I3" s="20"/>
      <c r="J3" s="20"/>
      <c r="K3" s="17" t="s">
        <v>59</v>
      </c>
      <c r="L3" s="15"/>
      <c r="M3" s="15"/>
      <c r="N3" s="15"/>
      <c r="O3" s="15"/>
    </row>
    <row r="4" spans="1:15" ht="13.8">
      <c r="A4" s="21" t="s">
        <v>79</v>
      </c>
      <c r="B4" s="23" t="s">
        <v>80</v>
      </c>
      <c r="C4" s="64" t="s">
        <v>26</v>
      </c>
      <c r="D4" s="25" t="s">
        <v>70</v>
      </c>
      <c r="E4" s="23" t="s">
        <v>81</v>
      </c>
      <c r="F4" s="24"/>
      <c r="G4" s="23" t="s">
        <v>82</v>
      </c>
      <c r="H4" s="23" t="s">
        <v>30</v>
      </c>
      <c r="I4" s="23" t="s">
        <v>83</v>
      </c>
      <c r="J4" s="23" t="s">
        <v>84</v>
      </c>
      <c r="K4" s="23" t="s">
        <v>61</v>
      </c>
      <c r="L4" s="15"/>
      <c r="M4" s="15"/>
      <c r="N4" s="15"/>
      <c r="O4" s="15"/>
    </row>
    <row r="5" spans="1:15" ht="14.4">
      <c r="A5" s="15"/>
      <c r="B5" s="167" t="s">
        <v>85</v>
      </c>
      <c r="C5" s="167"/>
      <c r="D5" s="167"/>
      <c r="E5" s="167"/>
      <c r="F5" s="167"/>
      <c r="G5" s="167"/>
      <c r="H5" s="167"/>
      <c r="I5" s="167"/>
      <c r="J5" s="167"/>
      <c r="K5" s="167"/>
      <c r="L5" s="15"/>
      <c r="M5" s="15"/>
      <c r="N5" s="15"/>
      <c r="O5" s="15"/>
    </row>
    <row r="6" spans="1:15" ht="13.8">
      <c r="A6" s="15" t="s">
        <v>34</v>
      </c>
      <c r="B6" s="82">
        <v>395.43068871102241</v>
      </c>
      <c r="C6" s="82">
        <v>5323</v>
      </c>
      <c r="D6" s="83">
        <v>24.765738432900992</v>
      </c>
      <c r="E6" s="82">
        <f>B6+C6+D6</f>
        <v>5743.1964271439238</v>
      </c>
      <c r="F6" s="84"/>
      <c r="G6" s="82">
        <v>1556.9839999999999</v>
      </c>
      <c r="H6" s="85">
        <v>292.99103926406997</v>
      </c>
      <c r="I6" s="82">
        <f>J6-G6-H6</f>
        <v>3497.8</v>
      </c>
      <c r="J6" s="82">
        <f>E6-K6</f>
        <v>5347.7750392640701</v>
      </c>
      <c r="K6" s="82">
        <v>395.42138787985368</v>
      </c>
      <c r="L6" s="15"/>
      <c r="M6" s="15"/>
      <c r="N6" s="131"/>
      <c r="O6" s="15"/>
    </row>
    <row r="7" spans="1:15" ht="16.2">
      <c r="A7" s="15" t="s">
        <v>35</v>
      </c>
      <c r="B7" s="82">
        <f>K6</f>
        <v>395.42138787985368</v>
      </c>
      <c r="C7" s="82">
        <v>4415</v>
      </c>
      <c r="D7" s="83">
        <v>80</v>
      </c>
      <c r="E7" s="82">
        <f>B7+C7+D7</f>
        <v>4890.4213878798537</v>
      </c>
      <c r="F7" s="84"/>
      <c r="G7" s="82">
        <v>1425</v>
      </c>
      <c r="H7" s="85">
        <v>185</v>
      </c>
      <c r="I7" s="82">
        <v>2892.4213878798537</v>
      </c>
      <c r="J7" s="82">
        <f>SUM(G7:I7)</f>
        <v>4502.4213878798537</v>
      </c>
      <c r="K7" s="82">
        <f>E7-J7</f>
        <v>388</v>
      </c>
      <c r="L7" s="15"/>
      <c r="M7" s="15"/>
      <c r="N7" s="15"/>
      <c r="O7" s="15"/>
    </row>
    <row r="8" spans="1:15" ht="16.2">
      <c r="A8" s="14" t="s">
        <v>36</v>
      </c>
      <c r="B8" s="86">
        <f>K7</f>
        <v>388</v>
      </c>
      <c r="C8" s="86">
        <v>4250</v>
      </c>
      <c r="D8" s="87">
        <v>25</v>
      </c>
      <c r="E8" s="86">
        <f>B8+C8+D8</f>
        <v>4663</v>
      </c>
      <c r="F8" s="88"/>
      <c r="G8" s="86">
        <v>1375</v>
      </c>
      <c r="H8" s="89">
        <v>175</v>
      </c>
      <c r="I8" s="86">
        <v>2743</v>
      </c>
      <c r="J8" s="86">
        <f>SUM(G8:I8)</f>
        <v>4293</v>
      </c>
      <c r="K8" s="86">
        <f>E8-J8</f>
        <v>370</v>
      </c>
      <c r="L8" s="15"/>
      <c r="M8" s="15"/>
      <c r="N8" s="15"/>
      <c r="O8" s="15"/>
    </row>
    <row r="9" spans="1:15" ht="16.2">
      <c r="A9" s="47" t="s">
        <v>86</v>
      </c>
      <c r="B9" s="15"/>
      <c r="C9" s="81"/>
      <c r="D9" s="81"/>
      <c r="E9" s="81"/>
      <c r="F9" s="81"/>
      <c r="G9" s="90"/>
      <c r="H9" s="81"/>
      <c r="I9" s="81"/>
      <c r="J9" s="81"/>
      <c r="K9" s="15"/>
      <c r="L9" s="15"/>
      <c r="M9" s="15"/>
      <c r="N9" s="15"/>
      <c r="O9" s="15"/>
    </row>
    <row r="10" spans="1:15" ht="14.4">
      <c r="A10" s="15" t="s">
        <v>87</v>
      </c>
      <c r="B10" s="33"/>
      <c r="C10" s="38"/>
      <c r="D10" s="15"/>
      <c r="E10" s="33"/>
      <c r="F10" s="33"/>
      <c r="G10" s="33"/>
      <c r="H10" s="33"/>
      <c r="I10" s="33"/>
      <c r="J10" s="33"/>
      <c r="K10" s="15"/>
      <c r="L10" s="15"/>
      <c r="M10" s="15"/>
      <c r="N10" s="15"/>
      <c r="O10" s="15"/>
    </row>
    <row r="11" spans="1:15" ht="14.4">
      <c r="A11" s="15" t="s">
        <v>88</v>
      </c>
      <c r="B11" s="33"/>
      <c r="C11" s="38"/>
      <c r="D11" s="15"/>
      <c r="E11" s="33"/>
      <c r="F11" s="33"/>
      <c r="G11" s="33"/>
      <c r="H11" s="33"/>
      <c r="I11" s="33"/>
      <c r="J11" s="33"/>
      <c r="K11" s="15"/>
      <c r="L11" s="15"/>
      <c r="M11" s="15"/>
      <c r="N11" s="15"/>
      <c r="O11" s="15"/>
    </row>
    <row r="12" spans="1:15" ht="13.8">
      <c r="A12" s="15"/>
      <c r="B12" s="33"/>
      <c r="C12" s="38"/>
      <c r="D12" s="15"/>
      <c r="E12" s="33"/>
      <c r="F12" s="33"/>
      <c r="G12" s="33"/>
      <c r="H12" s="33"/>
      <c r="I12" s="33"/>
      <c r="J12" s="33"/>
      <c r="K12" s="15"/>
      <c r="L12" s="15"/>
      <c r="M12" s="15"/>
      <c r="N12" s="15"/>
      <c r="O12" s="15"/>
    </row>
    <row r="13" spans="1:15" ht="13.8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3.8">
      <c r="A14" s="14" t="s">
        <v>5</v>
      </c>
      <c r="B14" s="14"/>
      <c r="C14" s="14"/>
      <c r="D14" s="14"/>
      <c r="E14" s="14"/>
      <c r="F14" s="14"/>
      <c r="G14" s="14"/>
      <c r="H14" s="14"/>
      <c r="I14" s="15"/>
      <c r="J14" s="14"/>
      <c r="K14" s="15"/>
      <c r="L14" s="15"/>
      <c r="M14" s="15"/>
      <c r="N14" s="15"/>
      <c r="O14" s="15"/>
    </row>
    <row r="15" spans="1:15" ht="13.8">
      <c r="A15" s="15"/>
      <c r="B15" s="164" t="s">
        <v>57</v>
      </c>
      <c r="C15" s="164"/>
      <c r="D15" s="164"/>
      <c r="E15" s="164"/>
      <c r="F15" s="15"/>
      <c r="G15" s="164" t="s">
        <v>58</v>
      </c>
      <c r="H15" s="164"/>
      <c r="I15" s="164"/>
      <c r="J15" s="15"/>
      <c r="K15" s="15"/>
      <c r="L15" s="15"/>
      <c r="M15" s="15"/>
      <c r="N15" s="15"/>
      <c r="O15" s="15"/>
    </row>
    <row r="16" spans="1:15" ht="13.8">
      <c r="A16" s="15" t="s">
        <v>17</v>
      </c>
      <c r="B16" s="17" t="s">
        <v>69</v>
      </c>
      <c r="C16" s="20"/>
      <c r="D16" s="20"/>
      <c r="E16" s="20"/>
      <c r="F16" s="20"/>
      <c r="G16" s="20"/>
      <c r="H16" s="20"/>
      <c r="I16" s="20"/>
      <c r="J16" s="17" t="s">
        <v>59</v>
      </c>
      <c r="K16" s="15"/>
      <c r="L16" s="15"/>
      <c r="M16" s="15"/>
      <c r="N16" s="15"/>
      <c r="O16" s="15"/>
    </row>
    <row r="17" spans="1:15" ht="13.8">
      <c r="A17" s="21" t="s">
        <v>60</v>
      </c>
      <c r="B17" s="23" t="s">
        <v>61</v>
      </c>
      <c r="C17" s="64" t="s">
        <v>26</v>
      </c>
      <c r="D17" s="25" t="s">
        <v>70</v>
      </c>
      <c r="E17" s="23" t="s">
        <v>84</v>
      </c>
      <c r="F17" s="24"/>
      <c r="G17" s="82" t="s">
        <v>89</v>
      </c>
      <c r="H17" s="23" t="s">
        <v>30</v>
      </c>
      <c r="I17" s="25" t="s">
        <v>62</v>
      </c>
      <c r="J17" s="23" t="s">
        <v>61</v>
      </c>
      <c r="K17" s="15"/>
      <c r="L17" s="15"/>
      <c r="M17" s="15"/>
      <c r="N17" s="15"/>
      <c r="O17" s="15"/>
    </row>
    <row r="18" spans="1:15" ht="14.4">
      <c r="A18" s="15"/>
      <c r="B18" s="167" t="s">
        <v>90</v>
      </c>
      <c r="C18" s="167"/>
      <c r="D18" s="167"/>
      <c r="E18" s="167"/>
      <c r="F18" s="167"/>
      <c r="G18" s="167"/>
      <c r="H18" s="167"/>
      <c r="I18" s="167"/>
      <c r="J18" s="167"/>
      <c r="K18" s="15"/>
      <c r="L18" s="15"/>
      <c r="M18" s="15"/>
      <c r="N18" s="15"/>
      <c r="O18" s="15"/>
    </row>
    <row r="19" spans="1:15" ht="13.8">
      <c r="A19" s="15" t="s">
        <v>34</v>
      </c>
      <c r="B19" s="82">
        <v>39.305999999999997</v>
      </c>
      <c r="C19" s="85">
        <v>695</v>
      </c>
      <c r="D19" s="112">
        <v>0.10141264051999997</v>
      </c>
      <c r="E19" s="85">
        <f>B19+C19+D19</f>
        <v>734.40741264052008</v>
      </c>
      <c r="F19" s="84"/>
      <c r="G19" s="85">
        <f>E19-J19-H19</f>
        <v>655.27531148258311</v>
      </c>
      <c r="H19" s="85">
        <v>56.816101157936991</v>
      </c>
      <c r="I19" s="85">
        <f>SUM(G19:H19)</f>
        <v>712.09141264052005</v>
      </c>
      <c r="J19" s="82">
        <v>22.315999999999999</v>
      </c>
      <c r="K19" s="15"/>
      <c r="L19" s="15"/>
      <c r="M19" s="15"/>
      <c r="N19" s="15"/>
      <c r="O19" s="15"/>
    </row>
    <row r="20" spans="1:15" ht="16.2">
      <c r="A20" s="15" t="s">
        <v>35</v>
      </c>
      <c r="B20" s="82">
        <f>J19</f>
        <v>22.315999999999999</v>
      </c>
      <c r="C20" s="85">
        <v>600</v>
      </c>
      <c r="D20" s="83">
        <v>0</v>
      </c>
      <c r="E20" s="85">
        <f>B20+C20+D20</f>
        <v>622.31600000000003</v>
      </c>
      <c r="F20" s="84"/>
      <c r="G20" s="85">
        <v>522.31600000000003</v>
      </c>
      <c r="H20" s="85">
        <v>60</v>
      </c>
      <c r="I20" s="85">
        <f>SUM(G20:H20)</f>
        <v>582.31600000000003</v>
      </c>
      <c r="J20" s="82">
        <f>E20-I20</f>
        <v>40</v>
      </c>
      <c r="K20" s="15"/>
      <c r="L20" s="15"/>
      <c r="M20" s="15"/>
      <c r="N20" s="15"/>
      <c r="O20" s="15"/>
    </row>
    <row r="21" spans="1:15" ht="16.2">
      <c r="A21" s="14" t="s">
        <v>36</v>
      </c>
      <c r="B21" s="86">
        <f>J20</f>
        <v>40</v>
      </c>
      <c r="C21" s="89">
        <v>620</v>
      </c>
      <c r="D21" s="87">
        <v>0</v>
      </c>
      <c r="E21" s="89">
        <f>B21+C21+D21</f>
        <v>660</v>
      </c>
      <c r="F21" s="88"/>
      <c r="G21" s="89">
        <v>560</v>
      </c>
      <c r="H21" s="89">
        <v>60</v>
      </c>
      <c r="I21" s="89">
        <f>SUM(G21:H21)</f>
        <v>620</v>
      </c>
      <c r="J21" s="86">
        <f>E21-I21</f>
        <v>40</v>
      </c>
      <c r="K21" s="15"/>
      <c r="L21" s="15"/>
      <c r="M21" s="15"/>
      <c r="N21" s="15"/>
      <c r="O21" s="15"/>
    </row>
    <row r="22" spans="1:15" ht="16.2">
      <c r="A22" s="47" t="s">
        <v>86</v>
      </c>
      <c r="B22" s="15"/>
      <c r="C22" s="81"/>
      <c r="D22" s="81"/>
      <c r="E22" s="81"/>
      <c r="F22" s="81"/>
      <c r="G22" s="81"/>
      <c r="H22" s="81"/>
      <c r="I22" s="15"/>
      <c r="J22" s="15"/>
      <c r="K22" s="15"/>
      <c r="L22" s="15"/>
      <c r="M22" s="15"/>
      <c r="N22" s="15"/>
      <c r="O22" s="15"/>
    </row>
    <row r="23" spans="1:15" ht="14.4">
      <c r="A23" s="15" t="s">
        <v>91</v>
      </c>
      <c r="B23" s="84"/>
      <c r="C23" s="84"/>
      <c r="D23" s="84"/>
      <c r="E23" s="84"/>
      <c r="F23" s="84"/>
      <c r="G23" s="84"/>
      <c r="H23" s="84"/>
      <c r="I23" s="15"/>
      <c r="J23" s="15"/>
      <c r="K23" s="15"/>
      <c r="L23" s="15"/>
      <c r="M23" s="15"/>
      <c r="N23" s="15"/>
      <c r="O23" s="15"/>
    </row>
    <row r="24" spans="1:15" ht="13.8">
      <c r="A24" s="15"/>
      <c r="B24" s="33"/>
      <c r="C24" s="33"/>
      <c r="D24" s="33"/>
      <c r="E24" s="33"/>
      <c r="F24" s="33"/>
      <c r="G24" s="33"/>
      <c r="H24" s="33"/>
      <c r="I24" s="15"/>
      <c r="J24" s="15"/>
      <c r="K24" s="15"/>
      <c r="L24" s="15"/>
      <c r="M24" s="15"/>
      <c r="N24" s="15"/>
      <c r="O24" s="15"/>
    </row>
    <row r="25" spans="1:15" ht="13.8">
      <c r="A25" s="15"/>
      <c r="B25" s="33"/>
      <c r="C25" s="38"/>
      <c r="D25" s="33"/>
      <c r="E25" s="33"/>
      <c r="F25" s="33"/>
      <c r="G25" s="33"/>
      <c r="H25" s="33"/>
      <c r="I25" s="15"/>
      <c r="J25" s="15"/>
      <c r="K25" s="15"/>
      <c r="L25" s="15"/>
      <c r="M25" s="15"/>
      <c r="N25" s="15"/>
      <c r="O25" s="15"/>
    </row>
    <row r="26" spans="1:15" ht="13.8">
      <c r="A26" s="14" t="s">
        <v>6</v>
      </c>
      <c r="B26" s="14"/>
      <c r="C26" s="14"/>
      <c r="D26" s="14"/>
      <c r="E26" s="14"/>
      <c r="F26" s="14"/>
      <c r="G26" s="14"/>
      <c r="H26" s="14"/>
      <c r="I26" s="15"/>
      <c r="J26" s="14"/>
      <c r="K26" s="15"/>
      <c r="L26" s="15"/>
      <c r="M26" s="15"/>
      <c r="N26" s="15"/>
      <c r="O26" s="15"/>
    </row>
    <row r="27" spans="1:15" ht="13.8">
      <c r="A27" s="15"/>
      <c r="B27" s="164" t="s">
        <v>57</v>
      </c>
      <c r="C27" s="164"/>
      <c r="D27" s="164"/>
      <c r="E27" s="164"/>
      <c r="F27" s="15"/>
      <c r="G27" s="164" t="s">
        <v>58</v>
      </c>
      <c r="H27" s="164"/>
      <c r="I27" s="164"/>
      <c r="J27" s="15"/>
      <c r="K27" s="15"/>
      <c r="L27" s="15"/>
      <c r="M27" s="15"/>
      <c r="N27" s="15"/>
      <c r="O27" s="15"/>
    </row>
    <row r="28" spans="1:15" ht="13.8">
      <c r="A28" s="15" t="s">
        <v>17</v>
      </c>
      <c r="B28" s="17" t="s">
        <v>69</v>
      </c>
      <c r="C28" s="20"/>
      <c r="D28" s="20"/>
      <c r="E28" s="20"/>
      <c r="F28" s="20"/>
      <c r="G28" s="20"/>
      <c r="H28" s="20"/>
      <c r="I28" s="20"/>
      <c r="J28" s="17" t="s">
        <v>59</v>
      </c>
      <c r="K28" s="15"/>
      <c r="L28" s="15"/>
      <c r="M28" s="15"/>
      <c r="N28" s="15"/>
      <c r="O28" s="15"/>
    </row>
    <row r="29" spans="1:15" ht="13.8">
      <c r="A29" s="21" t="s">
        <v>60</v>
      </c>
      <c r="B29" s="23" t="s">
        <v>61</v>
      </c>
      <c r="C29" s="23" t="s">
        <v>26</v>
      </c>
      <c r="D29" s="25" t="s">
        <v>70</v>
      </c>
      <c r="E29" s="23" t="s">
        <v>84</v>
      </c>
      <c r="F29" s="24"/>
      <c r="G29" s="23" t="s">
        <v>63</v>
      </c>
      <c r="H29" s="23" t="s">
        <v>30</v>
      </c>
      <c r="I29" s="23" t="s">
        <v>62</v>
      </c>
      <c r="J29" s="23" t="s">
        <v>65</v>
      </c>
      <c r="K29" s="15"/>
      <c r="L29" s="15"/>
      <c r="M29" s="15"/>
      <c r="N29" s="15"/>
      <c r="O29" s="15"/>
    </row>
    <row r="30" spans="1:15" ht="14.4">
      <c r="A30" s="15"/>
      <c r="B30" s="167" t="s">
        <v>74</v>
      </c>
      <c r="C30" s="167"/>
      <c r="D30" s="167"/>
      <c r="E30" s="167"/>
      <c r="F30" s="167"/>
      <c r="G30" s="167"/>
      <c r="H30" s="167"/>
      <c r="I30" s="167"/>
      <c r="J30" s="167"/>
      <c r="K30" s="15"/>
      <c r="L30" s="15"/>
      <c r="M30" s="15"/>
      <c r="N30" s="15"/>
      <c r="O30" s="15"/>
    </row>
    <row r="31" spans="1:15" ht="13.8">
      <c r="A31" s="15" t="s">
        <v>34</v>
      </c>
      <c r="B31" s="83">
        <v>48.207999999999998</v>
      </c>
      <c r="C31" s="85">
        <v>430</v>
      </c>
      <c r="D31" s="83">
        <v>24.878063955389997</v>
      </c>
      <c r="E31" s="91">
        <f>B31+C31+D31</f>
        <v>503.08606395538999</v>
      </c>
      <c r="F31" s="84"/>
      <c r="G31" s="85">
        <f>I31-H31</f>
        <v>325.68860562582</v>
      </c>
      <c r="H31" s="85">
        <v>127.69945832956999</v>
      </c>
      <c r="I31" s="85">
        <f>E31-J31</f>
        <v>453.38806395539001</v>
      </c>
      <c r="J31" s="85">
        <v>49.698</v>
      </c>
      <c r="K31" s="15"/>
      <c r="L31" s="15"/>
      <c r="M31" s="15"/>
      <c r="N31" s="15"/>
      <c r="O31" s="15"/>
    </row>
    <row r="32" spans="1:15" ht="16.2">
      <c r="A32" s="15" t="s">
        <v>35</v>
      </c>
      <c r="B32" s="83">
        <f>J31</f>
        <v>49.698</v>
      </c>
      <c r="C32" s="85">
        <v>380</v>
      </c>
      <c r="D32" s="83">
        <v>20</v>
      </c>
      <c r="E32" s="91">
        <f>B32+C32+D32</f>
        <v>449.69799999999998</v>
      </c>
      <c r="F32" s="84"/>
      <c r="G32" s="85">
        <v>319.69799999999998</v>
      </c>
      <c r="H32" s="85">
        <v>80</v>
      </c>
      <c r="I32" s="85">
        <f>SUM(G32:H32)</f>
        <v>399.69799999999998</v>
      </c>
      <c r="J32" s="85">
        <f>E32-I32</f>
        <v>50</v>
      </c>
      <c r="K32" s="15"/>
      <c r="L32" s="15"/>
      <c r="M32" s="15"/>
      <c r="N32" s="15"/>
      <c r="O32" s="15"/>
    </row>
    <row r="33" spans="1:17" ht="16.2">
      <c r="A33" s="14" t="s">
        <v>36</v>
      </c>
      <c r="B33" s="87">
        <f>J32</f>
        <v>50</v>
      </c>
      <c r="C33" s="89">
        <v>370</v>
      </c>
      <c r="D33" s="87">
        <v>20</v>
      </c>
      <c r="E33" s="92">
        <f>B33+C33+D33</f>
        <v>440</v>
      </c>
      <c r="F33" s="88"/>
      <c r="G33" s="89">
        <v>320</v>
      </c>
      <c r="H33" s="89">
        <v>70</v>
      </c>
      <c r="I33" s="89">
        <f>SUM(G33:H33)</f>
        <v>390</v>
      </c>
      <c r="J33" s="89">
        <f>E33-I33</f>
        <v>50</v>
      </c>
      <c r="K33" s="15"/>
      <c r="L33" s="15"/>
      <c r="M33" s="15"/>
      <c r="N33" s="15"/>
      <c r="O33" s="15"/>
    </row>
    <row r="34" spans="1:17" ht="16.2">
      <c r="A34" s="47" t="s">
        <v>86</v>
      </c>
      <c r="B34" s="15"/>
      <c r="C34" s="81"/>
      <c r="D34" s="81"/>
      <c r="E34" s="81"/>
      <c r="F34" s="81"/>
      <c r="G34" s="81"/>
      <c r="H34" s="81"/>
      <c r="I34" s="15"/>
      <c r="J34" s="15"/>
      <c r="K34" s="15"/>
      <c r="L34" s="15"/>
      <c r="M34" s="15"/>
      <c r="N34" s="15"/>
      <c r="O34" s="15"/>
    </row>
    <row r="35" spans="1:17" ht="14.4">
      <c r="A35" s="15" t="s">
        <v>92</v>
      </c>
      <c r="B35" s="33"/>
      <c r="C35" s="38"/>
      <c r="D35" s="33"/>
      <c r="E35" s="33"/>
      <c r="F35" s="33"/>
      <c r="G35" s="33"/>
      <c r="H35" s="33"/>
      <c r="I35" s="15"/>
      <c r="J35" s="15"/>
      <c r="K35" s="15"/>
      <c r="L35" s="15"/>
      <c r="M35" s="15"/>
      <c r="N35" s="15"/>
      <c r="O35" s="15"/>
    </row>
    <row r="36" spans="1:17" ht="13.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7" ht="13.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7" ht="13.8">
      <c r="A38" s="14" t="s">
        <v>7</v>
      </c>
      <c r="B38" s="14"/>
      <c r="C38" s="14"/>
      <c r="D38" s="14"/>
      <c r="E38" s="14"/>
      <c r="F38" s="14"/>
      <c r="G38" s="14"/>
      <c r="H38" s="14"/>
      <c r="I38" s="14"/>
      <c r="J38" s="15"/>
      <c r="K38" s="15"/>
      <c r="L38" s="15"/>
      <c r="M38" s="15"/>
      <c r="N38" s="15"/>
      <c r="O38" s="15"/>
    </row>
    <row r="39" spans="1:17" ht="13.8">
      <c r="A39" s="15"/>
      <c r="B39" s="164" t="s">
        <v>13</v>
      </c>
      <c r="C39" s="164"/>
      <c r="D39" s="17" t="s">
        <v>14</v>
      </c>
      <c r="E39" s="164" t="s">
        <v>15</v>
      </c>
      <c r="F39" s="164"/>
      <c r="G39" s="164"/>
      <c r="H39" s="164"/>
      <c r="I39" s="15"/>
      <c r="J39" s="164" t="s">
        <v>58</v>
      </c>
      <c r="K39" s="164"/>
      <c r="L39" s="164"/>
      <c r="M39" s="164"/>
      <c r="N39" s="164"/>
      <c r="O39" s="80"/>
    </row>
    <row r="40" spans="1:17" ht="13.8">
      <c r="A40" s="15" t="s">
        <v>17</v>
      </c>
      <c r="B40" s="17" t="s">
        <v>18</v>
      </c>
      <c r="C40" s="17" t="s">
        <v>19</v>
      </c>
      <c r="D40" s="15"/>
      <c r="E40" s="17" t="s">
        <v>69</v>
      </c>
      <c r="F40" s="17"/>
      <c r="G40" s="17"/>
      <c r="H40" s="17"/>
      <c r="I40" s="15"/>
      <c r="J40" s="61" t="s">
        <v>89</v>
      </c>
      <c r="K40" s="17"/>
      <c r="L40" s="17" t="s">
        <v>22</v>
      </c>
      <c r="M40" s="17"/>
      <c r="N40" s="17"/>
      <c r="O40" s="17" t="s">
        <v>59</v>
      </c>
    </row>
    <row r="41" spans="1:17" ht="13.8">
      <c r="A41" s="21" t="s">
        <v>79</v>
      </c>
      <c r="B41" s="22"/>
      <c r="C41" s="22"/>
      <c r="D41" s="22"/>
      <c r="E41" s="23" t="s">
        <v>61</v>
      </c>
      <c r="F41" s="23" t="s">
        <v>26</v>
      </c>
      <c r="G41" s="23" t="s">
        <v>70</v>
      </c>
      <c r="H41" s="23" t="s">
        <v>84</v>
      </c>
      <c r="I41" s="23"/>
      <c r="J41" s="23" t="s">
        <v>93</v>
      </c>
      <c r="K41" s="23" t="s">
        <v>82</v>
      </c>
      <c r="L41" s="23" t="s">
        <v>29</v>
      </c>
      <c r="M41" s="25" t="s">
        <v>30</v>
      </c>
      <c r="N41" s="23" t="s">
        <v>62</v>
      </c>
      <c r="O41" s="23" t="s">
        <v>65</v>
      </c>
    </row>
    <row r="42" spans="1:17" ht="14.4">
      <c r="A42" s="15"/>
      <c r="B42" s="168" t="s">
        <v>94</v>
      </c>
      <c r="C42" s="169"/>
      <c r="D42" s="93" t="s">
        <v>95</v>
      </c>
      <c r="E42" s="170" t="s">
        <v>96</v>
      </c>
      <c r="F42" s="167"/>
      <c r="G42" s="167"/>
      <c r="H42" s="167"/>
      <c r="I42" s="167"/>
      <c r="J42" s="167"/>
      <c r="K42" s="167"/>
      <c r="L42" s="167"/>
      <c r="M42" s="167"/>
      <c r="N42" s="167"/>
      <c r="O42" s="169"/>
    </row>
    <row r="43" spans="1:17" ht="13.8">
      <c r="A43" s="15"/>
      <c r="B43" s="17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7" ht="13.8">
      <c r="A44" s="15" t="s">
        <v>34</v>
      </c>
      <c r="B44" s="82">
        <v>1580.2</v>
      </c>
      <c r="C44" s="82">
        <v>1540.1</v>
      </c>
      <c r="D44" s="82">
        <f>F44*1000/C44</f>
        <v>4130.4662034932799</v>
      </c>
      <c r="E44" s="82">
        <v>1968.162</v>
      </c>
      <c r="F44" s="82">
        <v>6361.3310000000001</v>
      </c>
      <c r="G44" s="85">
        <v>107.03</v>
      </c>
      <c r="H44" s="82">
        <f>SUM(E44:G44)</f>
        <v>8436.523000000001</v>
      </c>
      <c r="I44" s="82"/>
      <c r="J44" s="82">
        <v>3313.1</v>
      </c>
      <c r="K44" s="82">
        <v>842.43200000000002</v>
      </c>
      <c r="L44" s="85">
        <f t="shared" ref="L44" si="0">N44-J44-K44-M44</f>
        <v>736.59400000000142</v>
      </c>
      <c r="M44" s="85">
        <v>1184.1400000000001</v>
      </c>
      <c r="N44" s="82">
        <f>H44-O44</f>
        <v>6076.2660000000014</v>
      </c>
      <c r="O44" s="82">
        <v>2360.2570000000001</v>
      </c>
      <c r="P44" s="110"/>
      <c r="Q44" s="110"/>
    </row>
    <row r="45" spans="1:17" ht="16.2">
      <c r="A45" s="15" t="s">
        <v>35</v>
      </c>
      <c r="B45" s="82">
        <v>1450.3</v>
      </c>
      <c r="C45" s="82">
        <v>1385.4</v>
      </c>
      <c r="D45" s="82">
        <f>F45*1000/C45</f>
        <v>4019.1641403204849</v>
      </c>
      <c r="E45" s="82">
        <f>O44</f>
        <v>2360.2570000000001</v>
      </c>
      <c r="F45" s="82">
        <v>5568.15</v>
      </c>
      <c r="G45" s="85">
        <v>100</v>
      </c>
      <c r="H45" s="82">
        <f>SUM(E45:G45)</f>
        <v>8028.4069999999992</v>
      </c>
      <c r="I45" s="82"/>
      <c r="J45" s="82">
        <v>3262.05</v>
      </c>
      <c r="K45" s="82">
        <v>800</v>
      </c>
      <c r="L45" s="85">
        <v>734.06499999999994</v>
      </c>
      <c r="M45" s="85">
        <v>1185</v>
      </c>
      <c r="N45" s="82">
        <f>SUM(J45:M45)</f>
        <v>5981.1149999999998</v>
      </c>
      <c r="O45" s="82">
        <f>H45-N45</f>
        <v>2047.2919999999995</v>
      </c>
      <c r="P45" s="110"/>
      <c r="Q45" s="110"/>
    </row>
    <row r="46" spans="1:17" ht="16.2">
      <c r="A46" s="14" t="s">
        <v>36</v>
      </c>
      <c r="B46" s="86">
        <v>1578</v>
      </c>
      <c r="C46" s="86">
        <v>1537</v>
      </c>
      <c r="D46" s="86">
        <v>4046.75</v>
      </c>
      <c r="E46" s="86">
        <f>O45</f>
        <v>2047.2919999999995</v>
      </c>
      <c r="F46" s="86">
        <f>C46*D46/1000</f>
        <v>6219.8547500000004</v>
      </c>
      <c r="G46" s="89">
        <v>115</v>
      </c>
      <c r="H46" s="86">
        <f>SUM(E46:G46)</f>
        <v>8382.1467499999999</v>
      </c>
      <c r="I46" s="86"/>
      <c r="J46" s="86">
        <v>3329.06</v>
      </c>
      <c r="K46" s="86">
        <v>850</v>
      </c>
      <c r="L46" s="89">
        <v>758.5</v>
      </c>
      <c r="M46" s="89">
        <v>1300</v>
      </c>
      <c r="N46" s="86">
        <f>SUM(J46:M46)</f>
        <v>6237.5599999999995</v>
      </c>
      <c r="O46" s="86">
        <f>H46-N46</f>
        <v>2144.5867500000004</v>
      </c>
      <c r="P46" s="110"/>
      <c r="Q46" s="110"/>
    </row>
    <row r="47" spans="1:17" ht="16.2">
      <c r="A47" s="47" t="s">
        <v>86</v>
      </c>
      <c r="B47" s="15"/>
      <c r="C47" s="81"/>
      <c r="D47" s="81"/>
      <c r="E47" s="81"/>
      <c r="F47" s="81"/>
      <c r="G47" s="81"/>
      <c r="H47" s="81"/>
      <c r="I47" s="15"/>
      <c r="J47" s="15"/>
      <c r="K47" s="15"/>
      <c r="L47" s="15"/>
      <c r="M47" s="15"/>
      <c r="N47" s="15"/>
      <c r="O47" s="15"/>
    </row>
    <row r="48" spans="1:17" ht="14.4">
      <c r="A48" s="15" t="s">
        <v>97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4.4">
      <c r="A49" s="15" t="s">
        <v>88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3.8">
      <c r="A50" s="20" t="s">
        <v>56</v>
      </c>
      <c r="B50" s="94">
        <f>Contents!A16</f>
        <v>45153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44.4" customHeight="1">
      <c r="A51" s="95"/>
      <c r="B51" s="96"/>
      <c r="C51" s="96"/>
      <c r="D51" s="96"/>
      <c r="E51" s="96"/>
      <c r="F51" s="96"/>
      <c r="G51" s="96"/>
      <c r="H51" s="96"/>
      <c r="I51" s="96"/>
      <c r="J51" s="126"/>
      <c r="K51" s="96"/>
      <c r="L51" s="96"/>
      <c r="M51" s="96"/>
      <c r="N51" s="96"/>
      <c r="O51" s="96"/>
    </row>
    <row r="52" spans="1:15" ht="15.6">
      <c r="G52" s="70"/>
      <c r="H52" s="70"/>
    </row>
    <row r="53" spans="1:15" ht="15.6">
      <c r="G53" s="70"/>
      <c r="H53" s="70"/>
    </row>
    <row r="54" spans="1:15" ht="15.6">
      <c r="G54" s="70"/>
      <c r="H54" s="70"/>
    </row>
  </sheetData>
  <mergeCells count="14">
    <mergeCell ref="B39:C39"/>
    <mergeCell ref="B42:C42"/>
    <mergeCell ref="B18:J18"/>
    <mergeCell ref="E39:H39"/>
    <mergeCell ref="B30:J30"/>
    <mergeCell ref="E42:O42"/>
    <mergeCell ref="J39:N39"/>
    <mergeCell ref="G2:J2"/>
    <mergeCell ref="G15:I15"/>
    <mergeCell ref="B15:E15"/>
    <mergeCell ref="B2:E2"/>
    <mergeCell ref="B27:E27"/>
    <mergeCell ref="G27:I27"/>
    <mergeCell ref="B5:K5"/>
  </mergeCells>
  <phoneticPr fontId="32" type="noConversion"/>
  <pageMargins left="0.75" right="0.75" top="1" bottom="1" header="0.5" footer="0.5"/>
  <pageSetup scale="5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I48"/>
  <sheetViews>
    <sheetView showGridLines="0" zoomScale="70" zoomScaleNormal="70" workbookViewId="0"/>
  </sheetViews>
  <sheetFormatPr defaultColWidth="9.109375" defaultRowHeight="13.2"/>
  <cols>
    <col min="1" max="1" width="11.6640625" customWidth="1"/>
    <col min="2" max="2" width="18.88671875" bestFit="1" customWidth="1"/>
    <col min="3" max="3" width="22.109375" bestFit="1" customWidth="1"/>
    <col min="4" max="5" width="25.6640625" bestFit="1" customWidth="1"/>
    <col min="6" max="6" width="16.6640625" bestFit="1" customWidth="1"/>
    <col min="7" max="7" width="18.88671875" bestFit="1" customWidth="1"/>
  </cols>
  <sheetData>
    <row r="1" spans="1:7" ht="15.6" customHeight="1">
      <c r="A1" s="14" t="s">
        <v>8</v>
      </c>
      <c r="B1" s="14"/>
      <c r="C1" s="14"/>
      <c r="D1" s="14"/>
      <c r="E1" s="14"/>
      <c r="F1" s="14"/>
      <c r="G1" s="14"/>
    </row>
    <row r="2" spans="1:7" ht="15.6" customHeight="1">
      <c r="A2" s="15" t="s">
        <v>98</v>
      </c>
      <c r="B2" s="17" t="s">
        <v>99</v>
      </c>
      <c r="C2" s="17" t="s">
        <v>100</v>
      </c>
      <c r="D2" s="17" t="s">
        <v>101</v>
      </c>
      <c r="E2" s="17" t="s">
        <v>102</v>
      </c>
      <c r="F2" s="17" t="s">
        <v>103</v>
      </c>
      <c r="G2" s="17" t="s">
        <v>104</v>
      </c>
    </row>
    <row r="3" spans="1:7" ht="15.6" customHeight="1">
      <c r="A3" s="14" t="s">
        <v>105</v>
      </c>
      <c r="B3" s="24"/>
      <c r="C3" s="52"/>
      <c r="D3" s="52"/>
      <c r="E3" s="52"/>
      <c r="F3" s="52"/>
      <c r="G3" s="52"/>
    </row>
    <row r="4" spans="1:7" ht="14.4">
      <c r="A4" s="53"/>
      <c r="B4" s="54" t="s">
        <v>106</v>
      </c>
      <c r="C4" s="54" t="s">
        <v>107</v>
      </c>
      <c r="D4" s="54" t="s">
        <v>108</v>
      </c>
      <c r="E4" s="54" t="s">
        <v>108</v>
      </c>
      <c r="F4" s="54" t="s">
        <v>109</v>
      </c>
      <c r="G4" s="54" t="s">
        <v>106</v>
      </c>
    </row>
    <row r="5" spans="1:7" ht="13.8">
      <c r="A5" s="15"/>
      <c r="B5" s="15"/>
      <c r="C5" s="15"/>
      <c r="D5" s="17"/>
      <c r="E5" s="15"/>
      <c r="F5" s="15"/>
      <c r="G5" s="15"/>
    </row>
    <row r="6" spans="1:7" ht="13.8">
      <c r="A6" s="15" t="s">
        <v>110</v>
      </c>
      <c r="B6" s="55">
        <v>11.3</v>
      </c>
      <c r="C6" s="55">
        <v>161</v>
      </c>
      <c r="D6" s="55">
        <v>23.3</v>
      </c>
      <c r="E6" s="55">
        <v>19.3</v>
      </c>
      <c r="F6" s="55">
        <v>22.5</v>
      </c>
      <c r="G6" s="55">
        <v>12.2</v>
      </c>
    </row>
    <row r="7" spans="1:7" ht="13.8">
      <c r="A7" s="15" t="s">
        <v>111</v>
      </c>
      <c r="B7" s="55">
        <v>12.5</v>
      </c>
      <c r="C7" s="55">
        <v>260</v>
      </c>
      <c r="D7" s="55">
        <v>29.1</v>
      </c>
      <c r="E7" s="55">
        <v>24</v>
      </c>
      <c r="F7" s="55">
        <v>31.8</v>
      </c>
      <c r="G7" s="55">
        <v>13.9</v>
      </c>
    </row>
    <row r="8" spans="1:7" ht="13.8">
      <c r="A8" s="15" t="s">
        <v>112</v>
      </c>
      <c r="B8" s="55">
        <v>14.4</v>
      </c>
      <c r="C8" s="55">
        <v>252</v>
      </c>
      <c r="D8" s="55">
        <v>25.4</v>
      </c>
      <c r="E8" s="55">
        <v>26.5</v>
      </c>
      <c r="F8" s="55">
        <v>30.1</v>
      </c>
      <c r="G8" s="55">
        <v>13.8</v>
      </c>
    </row>
    <row r="9" spans="1:7" ht="13.8">
      <c r="A9" s="15" t="s">
        <v>113</v>
      </c>
      <c r="B9" s="55">
        <v>13</v>
      </c>
      <c r="C9" s="55">
        <v>246</v>
      </c>
      <c r="D9" s="55">
        <v>21.4</v>
      </c>
      <c r="E9" s="55">
        <v>20.6</v>
      </c>
      <c r="F9" s="55">
        <v>24.9</v>
      </c>
      <c r="G9" s="55">
        <v>13.8</v>
      </c>
    </row>
    <row r="10" spans="1:7" ht="13.8">
      <c r="A10" s="15" t="s">
        <v>114</v>
      </c>
      <c r="B10" s="55">
        <v>10.1</v>
      </c>
      <c r="C10" s="55">
        <v>194</v>
      </c>
      <c r="D10" s="55">
        <v>21.7</v>
      </c>
      <c r="E10" s="55">
        <v>16.899999999999999</v>
      </c>
      <c r="F10" s="55">
        <v>22</v>
      </c>
      <c r="G10" s="55">
        <v>11.8</v>
      </c>
    </row>
    <row r="11" spans="1:7" ht="13.8">
      <c r="A11" s="15" t="s">
        <v>115</v>
      </c>
      <c r="B11" s="55">
        <v>8.9499999999999993</v>
      </c>
      <c r="C11" s="55">
        <v>227</v>
      </c>
      <c r="D11" s="55">
        <v>19.600000000000001</v>
      </c>
      <c r="E11" s="55">
        <v>15.6</v>
      </c>
      <c r="F11" s="55">
        <v>19.3</v>
      </c>
      <c r="G11" s="55">
        <v>8.9499999999999993</v>
      </c>
    </row>
    <row r="12" spans="1:7" ht="13.8">
      <c r="A12" s="15" t="s">
        <v>116</v>
      </c>
      <c r="B12" s="55">
        <v>9.4700000000000006</v>
      </c>
      <c r="C12" s="55">
        <v>195</v>
      </c>
      <c r="D12" s="55">
        <v>17.399999999999999</v>
      </c>
      <c r="E12" s="55">
        <v>16.600000000000001</v>
      </c>
      <c r="F12" s="55">
        <v>19.7</v>
      </c>
      <c r="G12" s="55">
        <v>8</v>
      </c>
    </row>
    <row r="13" spans="1:7" ht="13.8">
      <c r="A13" s="15" t="s">
        <v>117</v>
      </c>
      <c r="B13" s="55">
        <v>9.33</v>
      </c>
      <c r="C13" s="55">
        <v>142</v>
      </c>
      <c r="D13" s="55">
        <v>17.2</v>
      </c>
      <c r="E13" s="55">
        <v>17.5</v>
      </c>
      <c r="F13" s="55">
        <v>22.9</v>
      </c>
      <c r="G13" s="55">
        <v>9.5299999999999994</v>
      </c>
    </row>
    <row r="14" spans="1:7" ht="13.8">
      <c r="A14" s="15" t="s">
        <v>118</v>
      </c>
      <c r="B14" s="55">
        <v>8.48</v>
      </c>
      <c r="C14" s="55">
        <v>155</v>
      </c>
      <c r="D14" s="55">
        <v>17.399999999999999</v>
      </c>
      <c r="E14" s="55">
        <v>15.8</v>
      </c>
      <c r="F14" s="55">
        <v>21.5</v>
      </c>
      <c r="G14" s="55">
        <v>9.89</v>
      </c>
    </row>
    <row r="15" spans="1:7" ht="13.8">
      <c r="A15" s="15" t="s">
        <v>119</v>
      </c>
      <c r="B15" s="55">
        <v>8.57</v>
      </c>
      <c r="C15" s="55">
        <v>161</v>
      </c>
      <c r="D15" s="55">
        <v>19.5</v>
      </c>
      <c r="E15" s="55">
        <v>14.8</v>
      </c>
      <c r="F15" s="55">
        <v>20.5</v>
      </c>
      <c r="G15" s="55">
        <v>9.15</v>
      </c>
    </row>
    <row r="16" spans="1:7" ht="13.8">
      <c r="A16" s="15" t="s">
        <v>120</v>
      </c>
      <c r="B16" s="55">
        <v>10.8</v>
      </c>
      <c r="C16" s="55">
        <v>194</v>
      </c>
      <c r="D16" s="55">
        <v>21.3</v>
      </c>
      <c r="E16" s="55">
        <v>18.400000000000002</v>
      </c>
      <c r="F16" s="55">
        <v>21</v>
      </c>
      <c r="G16" s="55">
        <v>11.1</v>
      </c>
    </row>
    <row r="17" spans="1:9" ht="13.8">
      <c r="A17" s="15" t="s">
        <v>34</v>
      </c>
      <c r="B17" s="55">
        <v>13.3</v>
      </c>
      <c r="C17" s="55">
        <v>243</v>
      </c>
      <c r="D17" s="55">
        <v>32.9</v>
      </c>
      <c r="E17" s="55">
        <v>32.9</v>
      </c>
      <c r="F17" s="55">
        <v>24.3</v>
      </c>
      <c r="G17" s="55">
        <v>25.9</v>
      </c>
    </row>
    <row r="18" spans="1:9" ht="16.2">
      <c r="A18" s="15" t="s">
        <v>121</v>
      </c>
      <c r="B18" s="55">
        <v>14.200000000000001</v>
      </c>
      <c r="C18" s="55">
        <v>332</v>
      </c>
      <c r="D18" s="55">
        <v>26.75</v>
      </c>
      <c r="E18" s="55">
        <v>29.8</v>
      </c>
      <c r="F18" s="55">
        <v>27</v>
      </c>
      <c r="G18" s="158">
        <v>17.5</v>
      </c>
      <c r="H18" s="118"/>
    </row>
    <row r="19" spans="1:9" ht="16.2">
      <c r="A19" s="15" t="s">
        <v>122</v>
      </c>
      <c r="B19" s="55">
        <v>12.700000000000001</v>
      </c>
      <c r="C19" s="55">
        <v>300</v>
      </c>
      <c r="D19" s="55">
        <v>24.6</v>
      </c>
      <c r="E19" s="55">
        <v>25</v>
      </c>
      <c r="F19" s="55">
        <v>27</v>
      </c>
      <c r="G19" s="158">
        <v>13.249600000000001</v>
      </c>
      <c r="H19" s="118"/>
      <c r="I19" s="127"/>
    </row>
    <row r="20" spans="1:9" ht="13.8">
      <c r="A20" s="15"/>
      <c r="B20" s="56"/>
      <c r="C20" s="57"/>
      <c r="D20" s="58"/>
      <c r="E20" s="58"/>
      <c r="F20" s="57"/>
      <c r="G20" s="59"/>
      <c r="H20" s="48"/>
    </row>
    <row r="21" spans="1:9" ht="13.8">
      <c r="A21" s="60" t="s">
        <v>34</v>
      </c>
      <c r="B21" s="55"/>
      <c r="C21" s="55"/>
      <c r="D21" s="55"/>
      <c r="E21" s="55"/>
      <c r="F21" s="55"/>
      <c r="G21" s="55"/>
    </row>
    <row r="22" spans="1:9" ht="13.8">
      <c r="A22" s="15" t="s">
        <v>37</v>
      </c>
      <c r="B22" s="55">
        <v>12.2</v>
      </c>
      <c r="C22" s="55">
        <v>235</v>
      </c>
      <c r="D22" s="55">
        <v>30.7</v>
      </c>
      <c r="E22" s="55">
        <v>28.7</v>
      </c>
      <c r="F22" s="55">
        <v>22.2</v>
      </c>
      <c r="G22" s="55">
        <v>19.8</v>
      </c>
    </row>
    <row r="23" spans="1:9" ht="13.8">
      <c r="A23" s="15" t="s">
        <v>38</v>
      </c>
      <c r="B23" s="55">
        <v>11.9</v>
      </c>
      <c r="C23" s="55">
        <v>244</v>
      </c>
      <c r="D23" s="55">
        <v>30.5</v>
      </c>
      <c r="E23" s="55">
        <v>29.6</v>
      </c>
      <c r="F23" s="55">
        <v>23.9</v>
      </c>
      <c r="G23" s="55">
        <v>26.2</v>
      </c>
    </row>
    <row r="24" spans="1:9" ht="13.8">
      <c r="A24" s="15" t="s">
        <v>39</v>
      </c>
      <c r="B24" s="55">
        <v>12.1</v>
      </c>
      <c r="C24" s="55">
        <v>244</v>
      </c>
      <c r="D24" s="55">
        <v>30.3</v>
      </c>
      <c r="E24" s="55">
        <v>31.7</v>
      </c>
      <c r="F24" s="55">
        <v>25.4</v>
      </c>
      <c r="G24" s="55">
        <v>26.1</v>
      </c>
    </row>
    <row r="25" spans="1:9" ht="13.8">
      <c r="A25" s="15" t="s">
        <v>41</v>
      </c>
      <c r="B25" s="55">
        <v>12.5</v>
      </c>
      <c r="C25" s="55">
        <v>239</v>
      </c>
      <c r="D25" s="55">
        <v>31.6</v>
      </c>
      <c r="E25" s="55">
        <v>32.5</v>
      </c>
      <c r="F25" s="55">
        <v>24.1</v>
      </c>
      <c r="G25" s="55">
        <v>31.3</v>
      </c>
    </row>
    <row r="26" spans="1:9" ht="13.8">
      <c r="A26" s="15" t="s">
        <v>42</v>
      </c>
      <c r="B26" s="55">
        <v>12.9</v>
      </c>
      <c r="C26" s="55">
        <v>241</v>
      </c>
      <c r="D26" s="55">
        <v>31</v>
      </c>
      <c r="E26" s="55">
        <v>33.700000000000003</v>
      </c>
      <c r="F26" s="55">
        <v>25.9</v>
      </c>
      <c r="G26" s="55">
        <v>31</v>
      </c>
    </row>
    <row r="27" spans="1:9" ht="13.8">
      <c r="A27" s="15" t="s">
        <v>43</v>
      </c>
      <c r="B27" s="55">
        <v>14.7</v>
      </c>
      <c r="C27" s="55">
        <v>256</v>
      </c>
      <c r="D27" s="55">
        <v>32.200000000000003</v>
      </c>
      <c r="E27" s="55">
        <v>37.5</v>
      </c>
      <c r="F27" s="55">
        <v>24.8</v>
      </c>
      <c r="G27" s="55">
        <v>27.5</v>
      </c>
    </row>
    <row r="28" spans="1:9" ht="13.8">
      <c r="A28" s="15" t="s">
        <v>45</v>
      </c>
      <c r="B28" s="55">
        <v>15.4</v>
      </c>
      <c r="C28" s="55" t="s">
        <v>77</v>
      </c>
      <c r="D28" s="55">
        <v>33.9</v>
      </c>
      <c r="E28" s="55">
        <v>39.200000000000003</v>
      </c>
      <c r="F28" s="55">
        <v>25</v>
      </c>
      <c r="G28" s="55">
        <v>28.9</v>
      </c>
    </row>
    <row r="29" spans="1:9" ht="13.8">
      <c r="A29" s="15" t="s">
        <v>46</v>
      </c>
      <c r="B29" s="55">
        <v>15.8</v>
      </c>
      <c r="C29" s="55" t="s">
        <v>77</v>
      </c>
      <c r="D29" s="55">
        <v>37.1</v>
      </c>
      <c r="E29" s="55">
        <v>41.3</v>
      </c>
      <c r="F29" s="55">
        <v>24.8</v>
      </c>
      <c r="G29" s="55">
        <v>30.2</v>
      </c>
    </row>
    <row r="30" spans="1:9" ht="13.8">
      <c r="A30" s="15" t="s">
        <v>47</v>
      </c>
      <c r="B30" s="55">
        <v>16.100000000000001</v>
      </c>
      <c r="C30" s="55" t="s">
        <v>77</v>
      </c>
      <c r="D30" s="55">
        <v>40.1</v>
      </c>
      <c r="E30" s="55">
        <v>42.9</v>
      </c>
      <c r="F30" s="55">
        <v>25.3</v>
      </c>
      <c r="G30" s="55">
        <v>29.7</v>
      </c>
    </row>
    <row r="31" spans="1:9" ht="13.8">
      <c r="A31" s="15" t="s">
        <v>49</v>
      </c>
      <c r="B31" s="55">
        <v>16.399999999999999</v>
      </c>
      <c r="C31" s="55" t="s">
        <v>77</v>
      </c>
      <c r="D31" s="55">
        <v>40.200000000000003</v>
      </c>
      <c r="E31" s="55">
        <v>45.6</v>
      </c>
      <c r="F31" s="55">
        <v>25.2</v>
      </c>
      <c r="G31" s="55">
        <v>23.9</v>
      </c>
    </row>
    <row r="32" spans="1:9" ht="13.8">
      <c r="A32" s="15" t="s">
        <v>50</v>
      </c>
      <c r="B32" s="55">
        <v>15.5</v>
      </c>
      <c r="C32" s="55">
        <v>360</v>
      </c>
      <c r="D32" s="55">
        <v>36.200000000000003</v>
      </c>
      <c r="E32" s="55">
        <v>42.7</v>
      </c>
      <c r="F32" s="55">
        <v>25.3</v>
      </c>
      <c r="G32" s="55">
        <v>24.2</v>
      </c>
    </row>
    <row r="33" spans="1:7" ht="13.8">
      <c r="A33" s="15" t="s">
        <v>51</v>
      </c>
      <c r="B33" s="55">
        <f>15.3</f>
        <v>15.3</v>
      </c>
      <c r="C33" s="55">
        <f>343</f>
        <v>343</v>
      </c>
      <c r="D33" s="55">
        <f>37.8</f>
        <v>37.799999999999997</v>
      </c>
      <c r="E33" s="55">
        <f>40</f>
        <v>40</v>
      </c>
      <c r="F33" s="55">
        <f>25</f>
        <v>25</v>
      </c>
      <c r="G33" s="55">
        <f>20.8</f>
        <v>20.8</v>
      </c>
    </row>
    <row r="34" spans="1:7" ht="13.8">
      <c r="A34" s="15"/>
      <c r="B34" s="55"/>
      <c r="C34" s="55"/>
      <c r="D34" s="55"/>
      <c r="E34" s="55"/>
      <c r="F34" s="55"/>
      <c r="G34" s="55"/>
    </row>
    <row r="35" spans="1:7" ht="13.8">
      <c r="A35" s="60" t="s">
        <v>53</v>
      </c>
      <c r="B35" s="55"/>
      <c r="C35" s="55"/>
      <c r="D35" s="55"/>
      <c r="E35" s="55"/>
      <c r="F35" s="55"/>
      <c r="G35" s="55"/>
    </row>
    <row r="36" spans="1:7" ht="13.8">
      <c r="A36" s="15" t="s">
        <v>37</v>
      </c>
      <c r="B36" s="55">
        <v>14.1</v>
      </c>
      <c r="C36" s="55">
        <v>361</v>
      </c>
      <c r="D36" s="55">
        <v>32.9</v>
      </c>
      <c r="E36" s="55">
        <v>28.1</v>
      </c>
      <c r="F36" s="55">
        <v>25.7</v>
      </c>
      <c r="G36" s="55">
        <v>18.899999999999999</v>
      </c>
    </row>
    <row r="37" spans="1:7" ht="13.8">
      <c r="A37" s="15" t="s">
        <v>38</v>
      </c>
      <c r="B37" s="55">
        <v>13.5</v>
      </c>
      <c r="C37" s="55">
        <v>338</v>
      </c>
      <c r="D37" s="55">
        <v>29.3</v>
      </c>
      <c r="E37" s="55">
        <v>28.1</v>
      </c>
      <c r="F37" s="55">
        <v>26.6</v>
      </c>
      <c r="G37" s="55">
        <v>18.600000000000001</v>
      </c>
    </row>
    <row r="38" spans="1:7" ht="13.8">
      <c r="A38" s="15" t="s">
        <v>39</v>
      </c>
      <c r="B38" s="55">
        <v>14</v>
      </c>
      <c r="C38" s="55">
        <v>323</v>
      </c>
      <c r="D38" s="55">
        <v>28.4</v>
      </c>
      <c r="E38" s="55">
        <v>29.2</v>
      </c>
      <c r="F38" s="55">
        <v>29.9</v>
      </c>
      <c r="G38" s="55">
        <v>19.5</v>
      </c>
    </row>
    <row r="39" spans="1:7" ht="13.8">
      <c r="A39" s="15" t="s">
        <v>41</v>
      </c>
      <c r="B39" s="55">
        <v>14.4</v>
      </c>
      <c r="C39" s="55">
        <v>329</v>
      </c>
      <c r="D39" s="55">
        <v>29.5</v>
      </c>
      <c r="E39" s="55">
        <v>29.2</v>
      </c>
      <c r="F39" s="55">
        <v>24.1</v>
      </c>
      <c r="G39" s="55">
        <v>18.399999999999999</v>
      </c>
    </row>
    <row r="40" spans="1:7" ht="13.8">
      <c r="A40" s="15" t="s">
        <v>42</v>
      </c>
      <c r="B40" s="55">
        <v>14.5</v>
      </c>
      <c r="C40" s="55">
        <v>316</v>
      </c>
      <c r="D40" s="55">
        <v>28.5</v>
      </c>
      <c r="E40" s="55">
        <v>30.1</v>
      </c>
      <c r="F40" s="55">
        <v>27.9</v>
      </c>
      <c r="G40" s="55">
        <v>17.7</v>
      </c>
    </row>
    <row r="41" spans="1:7" ht="13.8">
      <c r="A41" s="15" t="s">
        <v>43</v>
      </c>
      <c r="B41" s="55">
        <v>15.1</v>
      </c>
      <c r="C41" s="55">
        <v>332</v>
      </c>
      <c r="D41" s="55">
        <v>30.8</v>
      </c>
      <c r="E41" s="55">
        <v>30.7</v>
      </c>
      <c r="F41" s="55">
        <v>27.2</v>
      </c>
      <c r="G41" s="55">
        <v>16.2</v>
      </c>
    </row>
    <row r="42" spans="1:7" ht="13.8">
      <c r="A42" s="15" t="s">
        <v>45</v>
      </c>
      <c r="B42" s="55">
        <v>14.9</v>
      </c>
      <c r="C42" s="55" t="s">
        <v>77</v>
      </c>
      <c r="D42" s="55">
        <v>26.9</v>
      </c>
      <c r="E42" s="55">
        <v>30.9</v>
      </c>
      <c r="F42" s="55">
        <v>26.9</v>
      </c>
      <c r="G42" s="55">
        <v>14.8</v>
      </c>
    </row>
    <row r="43" spans="1:7" ht="13.8">
      <c r="A43" s="15" t="s">
        <v>46</v>
      </c>
      <c r="B43" s="55">
        <v>14.9</v>
      </c>
      <c r="C43" s="55" t="s">
        <v>77</v>
      </c>
      <c r="D43" s="55">
        <v>26.9</v>
      </c>
      <c r="E43" s="55">
        <v>26.8</v>
      </c>
      <c r="F43" s="55">
        <v>27.3</v>
      </c>
      <c r="G43" s="55">
        <v>12.1</v>
      </c>
    </row>
    <row r="44" spans="1:7" ht="13.8">
      <c r="A44" s="15" t="s">
        <v>47</v>
      </c>
      <c r="B44" s="55">
        <v>14.4</v>
      </c>
      <c r="C44" s="55" t="s">
        <v>77</v>
      </c>
      <c r="D44" s="55">
        <v>25</v>
      </c>
      <c r="E44" s="55">
        <v>25.2</v>
      </c>
      <c r="F44" s="55">
        <v>27.9</v>
      </c>
      <c r="G44" s="55">
        <v>12.4</v>
      </c>
    </row>
    <row r="45" spans="1:7" ht="13.8">
      <c r="A45" s="14" t="s">
        <v>49</v>
      </c>
      <c r="B45" s="135">
        <v>14.2</v>
      </c>
      <c r="C45" s="135" t="s">
        <v>77</v>
      </c>
      <c r="D45" s="135">
        <v>20.7</v>
      </c>
      <c r="E45" s="135">
        <v>27.3</v>
      </c>
      <c r="F45" s="135">
        <v>28.3</v>
      </c>
      <c r="G45" s="135">
        <v>13.1</v>
      </c>
    </row>
    <row r="46" spans="1:7" ht="16.2">
      <c r="A46" s="15" t="s">
        <v>123</v>
      </c>
      <c r="B46" s="15"/>
      <c r="C46" s="15"/>
      <c r="D46" s="15"/>
      <c r="E46" s="15"/>
      <c r="F46" s="15"/>
      <c r="G46" s="15"/>
    </row>
    <row r="47" spans="1:7" ht="14.4">
      <c r="A47" s="15" t="s">
        <v>124</v>
      </c>
      <c r="B47" s="15"/>
      <c r="C47" s="15"/>
      <c r="D47" s="15"/>
      <c r="E47" s="15"/>
      <c r="F47" s="15"/>
      <c r="G47" s="15"/>
    </row>
    <row r="48" spans="1:7" ht="13.8">
      <c r="A48" s="20" t="s">
        <v>56</v>
      </c>
      <c r="B48" s="41">
        <f>Contents!A16</f>
        <v>45153</v>
      </c>
      <c r="C48" s="15"/>
      <c r="D48" s="15"/>
      <c r="E48" s="15"/>
      <c r="F48" s="15"/>
      <c r="G48" s="15"/>
    </row>
  </sheetData>
  <phoneticPr fontId="32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69"/>
  <sheetViews>
    <sheetView showGridLines="0" zoomScale="70" zoomScaleNormal="70" workbookViewId="0">
      <pane xSplit="1" ySplit="4" topLeftCell="B5" activePane="bottomRight" state="frozen"/>
      <selection pane="topRight" activeCell="J34" sqref="J34"/>
      <selection pane="bottomLeft" activeCell="J34" sqref="J34"/>
      <selection pane="bottomRight"/>
    </sheetView>
  </sheetViews>
  <sheetFormatPr defaultColWidth="9.109375" defaultRowHeight="13.2"/>
  <cols>
    <col min="1" max="2" width="11.6640625" customWidth="1"/>
    <col min="3" max="3" width="11.5546875" customWidth="1"/>
    <col min="4" max="4" width="13.6640625" customWidth="1"/>
    <col min="5" max="5" width="11.6640625" customWidth="1"/>
    <col min="6" max="6" width="11.5546875" bestFit="1" customWidth="1"/>
    <col min="7" max="7" width="10.6640625" customWidth="1"/>
    <col min="8" max="8" width="12" customWidth="1"/>
    <col min="9" max="9" width="13.44140625" customWidth="1"/>
    <col min="10" max="10" width="10.109375" bestFit="1" customWidth="1"/>
  </cols>
  <sheetData>
    <row r="1" spans="1:12" ht="13.8">
      <c r="A1" s="14" t="s">
        <v>9</v>
      </c>
      <c r="B1" s="14"/>
      <c r="C1" s="14"/>
      <c r="D1" s="14"/>
      <c r="E1" s="14"/>
      <c r="F1" s="14"/>
      <c r="G1" s="14"/>
      <c r="H1" s="14"/>
      <c r="I1" s="15"/>
    </row>
    <row r="2" spans="1:12" ht="15.6" customHeight="1">
      <c r="A2" s="61" t="s">
        <v>98</v>
      </c>
      <c r="B2" s="17" t="s">
        <v>125</v>
      </c>
      <c r="C2" s="17" t="s">
        <v>126</v>
      </c>
      <c r="D2" s="17" t="s">
        <v>127</v>
      </c>
      <c r="E2" s="62" t="s">
        <v>128</v>
      </c>
      <c r="F2" s="62" t="s">
        <v>129</v>
      </c>
      <c r="G2" s="17" t="s">
        <v>130</v>
      </c>
      <c r="H2" s="17" t="s">
        <v>131</v>
      </c>
      <c r="I2" s="63" t="s">
        <v>132</v>
      </c>
    </row>
    <row r="3" spans="1:12" ht="15.6" customHeight="1">
      <c r="A3" s="64" t="s">
        <v>105</v>
      </c>
      <c r="B3" s="23" t="s">
        <v>133</v>
      </c>
      <c r="C3" s="23" t="s">
        <v>134</v>
      </c>
      <c r="D3" s="23" t="s">
        <v>135</v>
      </c>
      <c r="E3" s="23" t="s">
        <v>135</v>
      </c>
      <c r="F3" s="23" t="s">
        <v>136</v>
      </c>
      <c r="G3" s="23" t="s">
        <v>137</v>
      </c>
      <c r="H3" s="23"/>
      <c r="I3" s="23" t="s">
        <v>138</v>
      </c>
    </row>
    <row r="4" spans="1:12" ht="14.4">
      <c r="A4" s="65" t="s">
        <v>139</v>
      </c>
      <c r="C4" s="66"/>
      <c r="D4" s="66"/>
      <c r="E4" s="66"/>
      <c r="F4" s="66"/>
      <c r="G4" s="66"/>
      <c r="H4" s="66"/>
      <c r="I4" s="66"/>
    </row>
    <row r="5" spans="1:12" ht="13.8">
      <c r="A5" s="15"/>
      <c r="B5" s="15"/>
      <c r="C5" s="15"/>
      <c r="D5" s="15"/>
      <c r="E5" s="15"/>
      <c r="F5" s="15"/>
      <c r="G5" s="15"/>
      <c r="H5" s="15"/>
      <c r="I5" s="15"/>
    </row>
    <row r="6" spans="1:12" ht="13.8">
      <c r="A6" s="15" t="s">
        <v>110</v>
      </c>
      <c r="B6" s="55">
        <v>53.2</v>
      </c>
      <c r="C6" s="55">
        <v>54.5</v>
      </c>
      <c r="D6" s="55">
        <v>86.12</v>
      </c>
      <c r="E6" s="55">
        <v>58.68</v>
      </c>
      <c r="F6" s="55">
        <v>77.239999999999995</v>
      </c>
      <c r="G6" s="55">
        <v>60.76</v>
      </c>
      <c r="H6" s="55">
        <v>51.52</v>
      </c>
      <c r="I6" s="55">
        <v>51.34</v>
      </c>
      <c r="K6" s="71"/>
      <c r="L6" s="71"/>
    </row>
    <row r="7" spans="1:12" ht="13.8">
      <c r="A7" s="15" t="s">
        <v>111</v>
      </c>
      <c r="B7" s="55">
        <v>51.9</v>
      </c>
      <c r="C7" s="55">
        <v>53.22</v>
      </c>
      <c r="D7" s="55">
        <v>83.2</v>
      </c>
      <c r="E7" s="55">
        <v>57.19</v>
      </c>
      <c r="F7" s="55">
        <v>100.15</v>
      </c>
      <c r="G7" s="55">
        <v>56.09</v>
      </c>
      <c r="H7" s="55">
        <v>48.11</v>
      </c>
      <c r="I7" s="55">
        <v>50.33</v>
      </c>
      <c r="K7" s="71"/>
      <c r="L7" s="71"/>
    </row>
    <row r="8" spans="1:12" ht="13.8">
      <c r="A8" s="15" t="s">
        <v>112</v>
      </c>
      <c r="B8" s="55">
        <v>47.13</v>
      </c>
      <c r="C8" s="55">
        <v>48.6</v>
      </c>
      <c r="D8" s="55">
        <v>65.87</v>
      </c>
      <c r="E8" s="55">
        <v>56.17</v>
      </c>
      <c r="F8" s="55">
        <v>91.83</v>
      </c>
      <c r="G8" s="55">
        <v>46.66</v>
      </c>
      <c r="H8" s="55">
        <v>51.8</v>
      </c>
      <c r="I8" s="55">
        <v>43.24</v>
      </c>
      <c r="K8" s="71"/>
      <c r="L8" s="71"/>
    </row>
    <row r="9" spans="1:12" ht="13.8">
      <c r="A9" s="15" t="s">
        <v>113</v>
      </c>
      <c r="B9" s="55">
        <v>38.229999999999997</v>
      </c>
      <c r="C9" s="55">
        <v>60.66</v>
      </c>
      <c r="D9" s="55">
        <v>59.12</v>
      </c>
      <c r="E9" s="55">
        <v>43.7</v>
      </c>
      <c r="F9" s="55">
        <v>68.23</v>
      </c>
      <c r="G9" s="55">
        <v>39.43</v>
      </c>
      <c r="H9" s="55">
        <v>43.93</v>
      </c>
      <c r="I9" s="55">
        <v>39.76</v>
      </c>
      <c r="K9" s="71"/>
      <c r="L9" s="71"/>
    </row>
    <row r="10" spans="1:12" ht="13.8">
      <c r="A10" s="15" t="s">
        <v>114</v>
      </c>
      <c r="B10" s="55">
        <v>31.6</v>
      </c>
      <c r="C10" s="55">
        <v>45.74</v>
      </c>
      <c r="D10" s="55">
        <v>66.72</v>
      </c>
      <c r="E10" s="55">
        <v>37.81</v>
      </c>
      <c r="F10" s="55">
        <v>57.96</v>
      </c>
      <c r="G10" s="55">
        <v>37.479999999999997</v>
      </c>
      <c r="H10" s="55">
        <v>33.43</v>
      </c>
      <c r="I10" s="55">
        <v>31.36</v>
      </c>
      <c r="K10" s="71"/>
      <c r="L10" s="71"/>
    </row>
    <row r="11" spans="1:12" ht="13.8">
      <c r="A11" s="15" t="s">
        <v>115</v>
      </c>
      <c r="B11" s="55">
        <v>29.86</v>
      </c>
      <c r="C11" s="55">
        <v>45.87</v>
      </c>
      <c r="D11" s="55">
        <v>57.81</v>
      </c>
      <c r="E11" s="55">
        <v>35.270000000000003</v>
      </c>
      <c r="F11" s="55">
        <v>58.26</v>
      </c>
      <c r="G11" s="55">
        <v>39.25</v>
      </c>
      <c r="H11" s="55">
        <v>32.229999999999997</v>
      </c>
      <c r="I11" s="55">
        <v>30.07</v>
      </c>
      <c r="K11" s="71"/>
      <c r="L11" s="71"/>
    </row>
    <row r="12" spans="1:12" ht="13.8">
      <c r="A12" s="15" t="s">
        <v>116</v>
      </c>
      <c r="B12" s="55">
        <v>32.549999999999997</v>
      </c>
      <c r="C12" s="55">
        <v>40.92</v>
      </c>
      <c r="D12" s="55">
        <v>53.54</v>
      </c>
      <c r="E12" s="55">
        <v>38.729999999999997</v>
      </c>
      <c r="F12" s="55">
        <v>66.73</v>
      </c>
      <c r="G12" s="55">
        <v>37.43</v>
      </c>
      <c r="H12" s="55">
        <v>33.07</v>
      </c>
      <c r="I12" s="55">
        <v>34.75</v>
      </c>
      <c r="K12" s="71"/>
      <c r="L12" s="71"/>
    </row>
    <row r="13" spans="1:12" ht="13.8">
      <c r="A13" s="15" t="s">
        <v>117</v>
      </c>
      <c r="B13" s="55">
        <v>30.04</v>
      </c>
      <c r="C13" s="55">
        <v>31.87</v>
      </c>
      <c r="D13" s="55">
        <v>54.57</v>
      </c>
      <c r="E13" s="55">
        <v>38.270000000000003</v>
      </c>
      <c r="F13" s="55">
        <v>66.72</v>
      </c>
      <c r="G13" s="55">
        <v>30.35</v>
      </c>
      <c r="H13" s="55">
        <v>34.159999999999997</v>
      </c>
      <c r="I13" s="55">
        <v>31.21</v>
      </c>
      <c r="K13" s="71"/>
      <c r="L13" s="71"/>
    </row>
    <row r="14" spans="1:12" ht="13.8">
      <c r="A14" s="15" t="s">
        <v>118</v>
      </c>
      <c r="B14" s="55">
        <v>28.26</v>
      </c>
      <c r="C14" s="55">
        <v>35.14</v>
      </c>
      <c r="D14" s="55">
        <v>53.28</v>
      </c>
      <c r="E14" s="55">
        <v>36.090000000000003</v>
      </c>
      <c r="F14" s="55">
        <v>64.72</v>
      </c>
      <c r="G14" s="55">
        <v>26.93</v>
      </c>
      <c r="H14" s="55">
        <v>31.65</v>
      </c>
      <c r="I14" s="55">
        <v>33.11</v>
      </c>
      <c r="K14" s="71"/>
      <c r="L14" s="71"/>
    </row>
    <row r="15" spans="1:12" ht="13.8">
      <c r="A15" s="15" t="s">
        <v>119</v>
      </c>
      <c r="B15" s="55">
        <v>29.65</v>
      </c>
      <c r="C15" s="55">
        <v>40.18</v>
      </c>
      <c r="D15" s="55">
        <v>65.03</v>
      </c>
      <c r="E15" s="55">
        <v>37.869999999999997</v>
      </c>
      <c r="F15" s="55">
        <v>62</v>
      </c>
      <c r="G15" s="55">
        <v>39.47</v>
      </c>
      <c r="H15" s="55">
        <v>35.75</v>
      </c>
      <c r="I15" s="55">
        <v>38.369999999999997</v>
      </c>
      <c r="K15" s="71"/>
      <c r="L15" s="71"/>
    </row>
    <row r="16" spans="1:12" ht="13.8">
      <c r="A16" s="15" t="s">
        <v>120</v>
      </c>
      <c r="B16" s="55">
        <v>56.87</v>
      </c>
      <c r="C16" s="55">
        <v>80.94</v>
      </c>
      <c r="D16" s="55">
        <v>79</v>
      </c>
      <c r="E16" s="55">
        <v>70.459999999999994</v>
      </c>
      <c r="F16" s="55">
        <v>101.4</v>
      </c>
      <c r="G16" s="55">
        <v>53.88</v>
      </c>
      <c r="H16" s="55">
        <v>55.89</v>
      </c>
      <c r="I16" s="55">
        <v>54.98</v>
      </c>
      <c r="K16" s="71"/>
      <c r="L16" s="71"/>
    </row>
    <row r="17" spans="1:12" ht="13.8">
      <c r="A17" s="15" t="s">
        <v>34</v>
      </c>
      <c r="B17" s="55">
        <v>72.98</v>
      </c>
      <c r="C17" s="55">
        <v>107.15</v>
      </c>
      <c r="D17" s="55">
        <v>111.39</v>
      </c>
      <c r="E17" s="55">
        <v>90.52</v>
      </c>
      <c r="F17" s="55">
        <v>106.98</v>
      </c>
      <c r="G17" s="55">
        <v>64.28</v>
      </c>
      <c r="H17" s="55">
        <v>82</v>
      </c>
      <c r="I17" s="55">
        <v>81.84</v>
      </c>
      <c r="J17" s="102"/>
      <c r="K17" s="71"/>
      <c r="L17" s="71"/>
    </row>
    <row r="18" spans="1:12" ht="16.2">
      <c r="A18" s="15" t="s">
        <v>140</v>
      </c>
      <c r="B18" s="55">
        <v>65</v>
      </c>
      <c r="C18" s="158">
        <v>103</v>
      </c>
      <c r="D18" s="55">
        <v>80</v>
      </c>
      <c r="E18" s="55">
        <v>72</v>
      </c>
      <c r="F18" s="55">
        <v>99.999999999999986</v>
      </c>
      <c r="G18" s="55">
        <f>63</f>
        <v>63</v>
      </c>
      <c r="H18" s="55">
        <f>83</f>
        <v>83</v>
      </c>
      <c r="I18" s="55">
        <v>78</v>
      </c>
      <c r="J18" s="102"/>
      <c r="K18" s="71"/>
      <c r="L18" s="71"/>
    </row>
    <row r="19" spans="1:12" ht="16.2">
      <c r="A19" s="15" t="s">
        <v>141</v>
      </c>
      <c r="B19" s="55">
        <v>62</v>
      </c>
      <c r="C19" s="55">
        <v>98</v>
      </c>
      <c r="D19" s="55">
        <v>84</v>
      </c>
      <c r="E19" s="55">
        <v>69</v>
      </c>
      <c r="F19" s="55">
        <v>97</v>
      </c>
      <c r="G19" s="55">
        <f>61</f>
        <v>61</v>
      </c>
      <c r="H19" s="55">
        <v>81</v>
      </c>
      <c r="I19" s="55">
        <v>76</v>
      </c>
      <c r="J19" s="102"/>
      <c r="K19" s="71"/>
      <c r="L19" s="71"/>
    </row>
    <row r="20" spans="1:12" ht="13.8">
      <c r="A20" s="15"/>
      <c r="B20" s="67"/>
      <c r="C20" s="67"/>
      <c r="D20" s="67"/>
      <c r="E20" s="67"/>
      <c r="F20" s="67"/>
      <c r="G20" s="67"/>
      <c r="H20" s="67"/>
      <c r="I20" s="67"/>
    </row>
    <row r="21" spans="1:12" ht="13.8">
      <c r="A21" s="35" t="s">
        <v>34</v>
      </c>
      <c r="B21" s="55"/>
      <c r="C21" s="55"/>
      <c r="D21" s="55"/>
      <c r="E21" s="55"/>
      <c r="F21" s="55"/>
      <c r="G21" s="55"/>
      <c r="H21" s="55"/>
      <c r="I21" s="55"/>
      <c r="L21" s="102"/>
    </row>
    <row r="22" spans="1:12" ht="13.8">
      <c r="A22" s="15" t="s">
        <v>38</v>
      </c>
      <c r="B22" s="55">
        <v>70.42</v>
      </c>
      <c r="C22" s="55">
        <v>98.5</v>
      </c>
      <c r="D22" s="55">
        <v>129</v>
      </c>
      <c r="E22" s="55">
        <v>82.3</v>
      </c>
      <c r="F22" s="55">
        <v>101.5</v>
      </c>
      <c r="G22" s="55">
        <v>57.069999999999993</v>
      </c>
      <c r="H22" s="55" t="s">
        <v>77</v>
      </c>
      <c r="I22" s="55" t="s">
        <v>77</v>
      </c>
      <c r="K22" s="105"/>
      <c r="L22" s="104"/>
    </row>
    <row r="23" spans="1:12" ht="13.8">
      <c r="A23" s="15" t="s">
        <v>39</v>
      </c>
      <c r="B23" s="55">
        <v>66.459999999999994</v>
      </c>
      <c r="C23" s="55">
        <v>96.75</v>
      </c>
      <c r="D23" s="55">
        <v>125</v>
      </c>
      <c r="E23" s="55">
        <v>84.375</v>
      </c>
      <c r="F23" s="55">
        <v>100</v>
      </c>
      <c r="G23" s="55">
        <v>57.918000000000006</v>
      </c>
      <c r="H23" s="55" t="s">
        <v>77</v>
      </c>
      <c r="I23" s="55">
        <v>80.06</v>
      </c>
      <c r="K23" s="105"/>
      <c r="L23" s="105"/>
    </row>
    <row r="24" spans="1:12" ht="13.8">
      <c r="A24" s="15" t="s">
        <v>41</v>
      </c>
      <c r="B24" s="55">
        <v>63.69</v>
      </c>
      <c r="C24" s="55">
        <v>93.3</v>
      </c>
      <c r="D24" s="55">
        <v>125</v>
      </c>
      <c r="E24" s="55">
        <v>82.95</v>
      </c>
      <c r="F24" s="55">
        <v>100</v>
      </c>
      <c r="G24" s="55">
        <v>56.093333333333334</v>
      </c>
      <c r="H24" s="55" t="s">
        <v>77</v>
      </c>
      <c r="I24" s="55">
        <v>73</v>
      </c>
      <c r="K24" s="105"/>
      <c r="L24" s="105"/>
    </row>
    <row r="25" spans="1:12" ht="13.8">
      <c r="A25" s="15" t="s">
        <v>42</v>
      </c>
      <c r="B25" s="55">
        <v>65.7</v>
      </c>
      <c r="C25" s="55">
        <v>97.9375</v>
      </c>
      <c r="D25" s="55">
        <v>123.125</v>
      </c>
      <c r="E25" s="55">
        <v>88.5625</v>
      </c>
      <c r="F25" s="55">
        <v>103.125</v>
      </c>
      <c r="G25" s="55">
        <v>54.09</v>
      </c>
      <c r="H25" s="55" t="s">
        <v>77</v>
      </c>
      <c r="I25" s="55">
        <v>76.5</v>
      </c>
      <c r="K25" s="105"/>
    </row>
    <row r="26" spans="1:12" ht="13.8">
      <c r="A26" s="15" t="s">
        <v>43</v>
      </c>
      <c r="B26" s="55">
        <v>70.91</v>
      </c>
      <c r="C26" s="55">
        <v>101.375</v>
      </c>
      <c r="D26" s="55">
        <v>115.33333333333333</v>
      </c>
      <c r="E26" s="55">
        <v>85.875</v>
      </c>
      <c r="F26" s="55">
        <v>105</v>
      </c>
      <c r="G26" s="55">
        <v>59.29</v>
      </c>
      <c r="H26" s="55">
        <v>82</v>
      </c>
      <c r="I26" s="55">
        <v>80</v>
      </c>
    </row>
    <row r="27" spans="1:12" ht="13.8">
      <c r="A27" s="15" t="s">
        <v>45</v>
      </c>
      <c r="B27" s="55">
        <v>76.405000000000001</v>
      </c>
      <c r="C27" s="55">
        <v>114.875</v>
      </c>
      <c r="D27" s="55">
        <v>129</v>
      </c>
      <c r="E27" s="55">
        <v>92</v>
      </c>
      <c r="F27" s="55">
        <v>107.5</v>
      </c>
      <c r="G27" s="55">
        <v>67.1875</v>
      </c>
      <c r="H27" s="55" t="s">
        <v>77</v>
      </c>
      <c r="I27" s="55">
        <v>81.5</v>
      </c>
    </row>
    <row r="28" spans="1:12" ht="13.8">
      <c r="A28" s="15" t="s">
        <v>46</v>
      </c>
      <c r="B28" s="55">
        <v>83.846000000000004</v>
      </c>
      <c r="C28" s="55">
        <v>120.05</v>
      </c>
      <c r="D28" s="55">
        <v>120.4</v>
      </c>
      <c r="E28" s="55">
        <v>103.15</v>
      </c>
      <c r="F28" s="55">
        <v>115</v>
      </c>
      <c r="G28" s="55">
        <v>71.55</v>
      </c>
      <c r="H28" s="55" t="s">
        <v>77</v>
      </c>
      <c r="I28" s="55">
        <v>83.125</v>
      </c>
    </row>
    <row r="29" spans="1:12" ht="13.8">
      <c r="A29" s="15" t="s">
        <v>47</v>
      </c>
      <c r="B29" s="55">
        <v>87.385000000000005</v>
      </c>
      <c r="C29" s="55">
        <v>119.5625</v>
      </c>
      <c r="D29" s="55">
        <v>113.5</v>
      </c>
      <c r="E29" s="55">
        <v>108.6875</v>
      </c>
      <c r="F29" s="55">
        <v>116.25</v>
      </c>
      <c r="G29" s="55">
        <v>77.802499999999995</v>
      </c>
      <c r="H29" s="55" t="s">
        <v>77</v>
      </c>
      <c r="I29" s="55">
        <v>84.25</v>
      </c>
    </row>
    <row r="30" spans="1:12" ht="13.8">
      <c r="A30" s="15" t="s">
        <v>49</v>
      </c>
      <c r="B30" s="55">
        <v>80.297499999999999</v>
      </c>
      <c r="C30" s="55">
        <v>115.75</v>
      </c>
      <c r="D30" s="55">
        <v>97.75</v>
      </c>
      <c r="E30" s="55">
        <v>102.25</v>
      </c>
      <c r="F30" s="55">
        <v>116.25</v>
      </c>
      <c r="G30" s="55">
        <v>76.375</v>
      </c>
      <c r="H30" s="55" t="s">
        <v>77</v>
      </c>
      <c r="I30" s="55">
        <v>86.5</v>
      </c>
    </row>
    <row r="31" spans="1:12" ht="13.8">
      <c r="A31" s="15" t="s">
        <v>50</v>
      </c>
      <c r="B31" s="55">
        <v>67.74799999999999</v>
      </c>
      <c r="C31" s="55">
        <v>100.8</v>
      </c>
      <c r="D31" s="55">
        <v>78.2</v>
      </c>
      <c r="E31" s="55">
        <v>87.9</v>
      </c>
      <c r="F31" s="55">
        <v>103.2</v>
      </c>
      <c r="G31" s="55">
        <v>62.25</v>
      </c>
      <c r="H31" s="55" t="s">
        <v>77</v>
      </c>
      <c r="I31" s="55">
        <v>81.5</v>
      </c>
    </row>
    <row r="32" spans="1:12" ht="13.8">
      <c r="A32" s="15" t="s">
        <v>51</v>
      </c>
      <c r="B32" s="55">
        <v>72.334999999999994</v>
      </c>
      <c r="C32" s="55">
        <v>113.75</v>
      </c>
      <c r="D32" s="55">
        <v>92</v>
      </c>
      <c r="E32" s="55">
        <v>91.3125</v>
      </c>
      <c r="F32" s="55">
        <v>107.25</v>
      </c>
      <c r="G32" s="55">
        <v>65.4375</v>
      </c>
      <c r="H32" s="55" t="s">
        <v>77</v>
      </c>
      <c r="I32" s="55" t="s">
        <v>77</v>
      </c>
    </row>
    <row r="33" spans="1:12" ht="13.8">
      <c r="A33" s="15" t="s">
        <v>37</v>
      </c>
      <c r="B33" s="55">
        <v>70.626000000000005</v>
      </c>
      <c r="C33" s="55">
        <v>113.2</v>
      </c>
      <c r="D33" s="55">
        <v>88.4</v>
      </c>
      <c r="E33" s="55">
        <v>76.849999999999994</v>
      </c>
      <c r="F33" s="55">
        <v>111.6</v>
      </c>
      <c r="G33" s="55">
        <v>66.263999999999996</v>
      </c>
      <c r="H33" s="55" t="s">
        <v>77</v>
      </c>
      <c r="I33" s="55">
        <v>92</v>
      </c>
      <c r="K33" s="71"/>
      <c r="L33" s="71"/>
    </row>
    <row r="34" spans="1:12" ht="13.8">
      <c r="A34" s="15"/>
      <c r="B34" s="55"/>
      <c r="C34" s="55"/>
      <c r="D34" s="55"/>
      <c r="E34" s="55"/>
      <c r="F34" s="55"/>
      <c r="G34" s="55"/>
      <c r="H34" s="55"/>
      <c r="I34" s="55"/>
      <c r="K34" s="71"/>
      <c r="L34" s="71"/>
    </row>
    <row r="35" spans="1:12" ht="13.8">
      <c r="A35" s="35" t="s">
        <v>53</v>
      </c>
      <c r="B35" s="55"/>
      <c r="C35" s="55"/>
      <c r="D35" s="55"/>
      <c r="E35" s="55"/>
      <c r="F35" s="55"/>
      <c r="G35" s="55"/>
      <c r="H35" s="55"/>
      <c r="I35" s="55"/>
      <c r="K35" s="71"/>
      <c r="L35" s="71"/>
    </row>
    <row r="36" spans="1:12" ht="13.8">
      <c r="A36" s="15" t="s">
        <v>38</v>
      </c>
      <c r="B36" s="55">
        <v>72.67</v>
      </c>
      <c r="C36" s="55">
        <v>110.1875</v>
      </c>
      <c r="D36" s="55">
        <v>93.75</v>
      </c>
      <c r="E36" s="55">
        <v>80.125</v>
      </c>
      <c r="F36" s="55">
        <v>107.75</v>
      </c>
      <c r="G36" s="55">
        <v>65.412499999999994</v>
      </c>
      <c r="H36" s="55">
        <v>88</v>
      </c>
      <c r="I36" s="55">
        <v>88.5</v>
      </c>
      <c r="J36" s="71"/>
      <c r="K36" s="71"/>
      <c r="L36" s="71"/>
    </row>
    <row r="37" spans="1:12" ht="13.8">
      <c r="A37" s="15" t="s">
        <v>39</v>
      </c>
      <c r="B37" s="55">
        <v>79.180000000000007</v>
      </c>
      <c r="C37" s="55">
        <v>116.6875</v>
      </c>
      <c r="D37" s="55">
        <v>106</v>
      </c>
      <c r="E37" s="55">
        <v>84.375</v>
      </c>
      <c r="F37" s="55">
        <v>111</v>
      </c>
      <c r="G37" s="55">
        <v>69.67</v>
      </c>
      <c r="H37" s="55" t="s">
        <v>77</v>
      </c>
      <c r="I37" s="55">
        <v>88.5</v>
      </c>
      <c r="J37" s="71"/>
      <c r="K37" s="71"/>
      <c r="L37" s="71"/>
    </row>
    <row r="38" spans="1:12" ht="13.8">
      <c r="A38" s="15" t="s">
        <v>41</v>
      </c>
      <c r="B38" s="55">
        <v>68.14</v>
      </c>
      <c r="C38" s="55">
        <v>105.1</v>
      </c>
      <c r="D38" s="55">
        <v>92.3</v>
      </c>
      <c r="E38" s="55">
        <v>74.05</v>
      </c>
      <c r="F38" s="55">
        <v>101</v>
      </c>
      <c r="G38" s="55">
        <v>60</v>
      </c>
      <c r="H38" s="55" t="s">
        <v>77</v>
      </c>
      <c r="I38" s="55">
        <v>84</v>
      </c>
      <c r="J38" s="71"/>
      <c r="K38" s="71"/>
      <c r="L38" s="71"/>
    </row>
    <row r="39" spans="1:12" ht="13.8">
      <c r="A39" s="15" t="s">
        <v>42</v>
      </c>
      <c r="B39" s="55">
        <v>66</v>
      </c>
      <c r="C39" s="55">
        <v>102.1875</v>
      </c>
      <c r="D39" s="55">
        <v>85.75</v>
      </c>
      <c r="E39" s="55">
        <v>71.1875</v>
      </c>
      <c r="F39" s="55">
        <v>95.375</v>
      </c>
      <c r="G39" s="55">
        <v>61</v>
      </c>
      <c r="H39" s="55">
        <v>87</v>
      </c>
      <c r="I39" s="55">
        <v>76.125</v>
      </c>
      <c r="J39" s="71"/>
      <c r="K39" s="71"/>
      <c r="L39" s="71"/>
    </row>
    <row r="40" spans="1:12" ht="13.8">
      <c r="A40" s="15" t="s">
        <v>43</v>
      </c>
      <c r="B40" s="55">
        <v>63.242500000000007</v>
      </c>
      <c r="C40" s="55">
        <v>100</v>
      </c>
      <c r="D40" s="55">
        <v>81.25</v>
      </c>
      <c r="E40" s="55">
        <v>68.25</v>
      </c>
      <c r="F40" s="55">
        <v>88</v>
      </c>
      <c r="G40" s="55" t="s">
        <v>77</v>
      </c>
      <c r="H40" s="55" t="s">
        <v>77</v>
      </c>
      <c r="I40" s="55">
        <v>63.95</v>
      </c>
      <c r="J40" s="71"/>
      <c r="K40" s="71"/>
      <c r="L40" s="71"/>
    </row>
    <row r="41" spans="1:12" ht="13.8">
      <c r="A41" s="15" t="s">
        <v>45</v>
      </c>
      <c r="B41" s="55">
        <v>58.83</v>
      </c>
      <c r="C41" s="55">
        <v>96.55</v>
      </c>
      <c r="D41" s="55">
        <v>76.599999999999994</v>
      </c>
      <c r="E41" s="55">
        <v>64.599999999999994</v>
      </c>
      <c r="F41" s="55">
        <v>84.4</v>
      </c>
      <c r="G41" s="55" t="s">
        <v>77</v>
      </c>
      <c r="H41" s="55" t="s">
        <v>77</v>
      </c>
      <c r="I41" s="55">
        <v>66.25</v>
      </c>
      <c r="J41" s="71"/>
      <c r="K41" s="71"/>
      <c r="L41" s="71"/>
    </row>
    <row r="42" spans="1:12" ht="13.8">
      <c r="A42" s="15" t="s">
        <v>46</v>
      </c>
      <c r="B42" s="55">
        <v>55.474999999999994</v>
      </c>
      <c r="C42" s="55">
        <v>92.5625</v>
      </c>
      <c r="D42" s="55">
        <v>73</v>
      </c>
      <c r="E42" s="55">
        <v>62.625</v>
      </c>
      <c r="F42" s="55">
        <v>81.75</v>
      </c>
      <c r="G42" s="55" t="s">
        <v>77</v>
      </c>
      <c r="H42" s="55">
        <v>82</v>
      </c>
      <c r="I42" s="55" t="s">
        <v>77</v>
      </c>
      <c r="J42" s="71"/>
      <c r="K42" s="71"/>
      <c r="L42" s="71"/>
    </row>
    <row r="43" spans="1:12" ht="13.8">
      <c r="A43" s="15" t="s">
        <v>47</v>
      </c>
      <c r="B43" s="55">
        <v>52.484999999999999</v>
      </c>
      <c r="C43" s="55">
        <v>91.75</v>
      </c>
      <c r="D43" s="55">
        <v>68.625</v>
      </c>
      <c r="E43" s="55">
        <v>62.125</v>
      </c>
      <c r="F43" s="55">
        <v>85.5</v>
      </c>
      <c r="G43" s="55">
        <v>52</v>
      </c>
      <c r="H43" s="55" t="s">
        <v>77</v>
      </c>
      <c r="I43" s="55" t="s">
        <v>77</v>
      </c>
      <c r="J43" s="71"/>
      <c r="K43" s="71"/>
      <c r="L43" s="71"/>
    </row>
    <row r="44" spans="1:12" ht="13.8">
      <c r="A44" s="15" t="s">
        <v>49</v>
      </c>
      <c r="B44" s="55">
        <v>60.007999999999996</v>
      </c>
      <c r="C44" s="55">
        <v>97.85</v>
      </c>
      <c r="D44" s="55">
        <v>67</v>
      </c>
      <c r="E44" s="55">
        <v>71.849999999999994</v>
      </c>
      <c r="F44" s="55">
        <v>89.6</v>
      </c>
      <c r="G44" s="55" t="s">
        <v>77</v>
      </c>
      <c r="H44" s="55">
        <v>80</v>
      </c>
      <c r="I44" s="55">
        <v>74.59</v>
      </c>
      <c r="J44" s="55"/>
      <c r="K44" s="71"/>
      <c r="L44" s="71"/>
    </row>
    <row r="45" spans="1:12" ht="13.8">
      <c r="A45" s="14" t="s">
        <v>50</v>
      </c>
      <c r="B45" s="135">
        <v>70.887499999999989</v>
      </c>
      <c r="C45" s="135">
        <v>107.75</v>
      </c>
      <c r="D45" s="135">
        <v>73.25</v>
      </c>
      <c r="E45" s="135">
        <v>83</v>
      </c>
      <c r="F45" s="135">
        <v>94.25</v>
      </c>
      <c r="G45" s="135" t="s">
        <v>77</v>
      </c>
      <c r="H45" s="135" t="s">
        <v>77</v>
      </c>
      <c r="I45" s="135">
        <v>74.625</v>
      </c>
      <c r="J45" s="55"/>
      <c r="K45" s="71"/>
      <c r="L45" s="71"/>
    </row>
    <row r="46" spans="1:12" ht="16.2">
      <c r="A46" s="47" t="s">
        <v>142</v>
      </c>
      <c r="B46" s="69"/>
      <c r="C46" s="69"/>
      <c r="D46" s="69"/>
      <c r="E46" s="69"/>
      <c r="F46" s="69"/>
      <c r="G46" s="69"/>
      <c r="H46" s="69"/>
      <c r="I46" s="69"/>
    </row>
    <row r="47" spans="1:12" ht="16.2">
      <c r="A47" s="15" t="s">
        <v>143</v>
      </c>
      <c r="B47" s="69"/>
      <c r="C47" s="69"/>
      <c r="D47" s="69"/>
      <c r="E47" s="69"/>
      <c r="F47" s="69"/>
      <c r="G47" s="69"/>
      <c r="H47" s="69"/>
      <c r="I47" s="69"/>
    </row>
    <row r="48" spans="1:12" ht="14.4">
      <c r="A48" s="15" t="s">
        <v>144</v>
      </c>
      <c r="B48" s="15"/>
      <c r="C48" s="15"/>
      <c r="D48" s="15"/>
      <c r="E48" s="15"/>
      <c r="F48" s="69"/>
      <c r="G48" s="15"/>
      <c r="H48" s="15"/>
      <c r="I48" s="15"/>
    </row>
    <row r="49" spans="1:9" ht="13.8">
      <c r="A49" s="20" t="s">
        <v>56</v>
      </c>
      <c r="B49" s="41">
        <f>Contents!A16</f>
        <v>45153</v>
      </c>
      <c r="C49" s="15"/>
      <c r="D49" s="15"/>
      <c r="E49" s="15"/>
      <c r="F49" s="15"/>
      <c r="G49" s="15"/>
      <c r="H49" s="15"/>
      <c r="I49" s="15"/>
    </row>
    <row r="50" spans="1:9" ht="15.6">
      <c r="C50" s="70"/>
      <c r="G50" s="70"/>
      <c r="H50" s="70"/>
      <c r="I50" s="70"/>
    </row>
    <row r="51" spans="1:9" ht="15.6">
      <c r="B51" s="71"/>
      <c r="C51" s="71"/>
      <c r="D51" s="71"/>
      <c r="E51" s="71"/>
      <c r="F51" s="71"/>
      <c r="G51" s="71"/>
      <c r="H51" s="70"/>
      <c r="I51" s="70"/>
    </row>
    <row r="52" spans="1:9" ht="15.6">
      <c r="B52" s="106"/>
      <c r="C52" s="106"/>
      <c r="D52" s="106"/>
      <c r="E52" s="106"/>
      <c r="F52" s="106"/>
      <c r="G52" s="106"/>
      <c r="H52" s="70"/>
      <c r="I52" s="70"/>
    </row>
    <row r="53" spans="1:9" ht="15.6">
      <c r="C53" s="70"/>
      <c r="G53" s="70"/>
      <c r="H53" s="70"/>
      <c r="I53" s="70"/>
    </row>
    <row r="54" spans="1:9" ht="15.6">
      <c r="C54" s="70"/>
      <c r="G54" s="70"/>
      <c r="H54" s="70"/>
      <c r="I54" s="70"/>
    </row>
    <row r="55" spans="1:9" ht="15.6">
      <c r="C55" s="70"/>
      <c r="G55" s="70"/>
      <c r="H55" s="70"/>
      <c r="I55" s="70"/>
    </row>
    <row r="56" spans="1:9" ht="15.6">
      <c r="C56" s="70"/>
      <c r="G56" s="70"/>
      <c r="H56" s="70"/>
      <c r="I56" s="70"/>
    </row>
    <row r="57" spans="1:9" ht="15.6">
      <c r="C57" s="70"/>
      <c r="G57" s="70"/>
      <c r="H57" s="70"/>
      <c r="I57" s="70"/>
    </row>
    <row r="58" spans="1:9" ht="15.6">
      <c r="C58" s="70"/>
      <c r="G58" s="70"/>
      <c r="H58" s="70"/>
      <c r="I58" s="70"/>
    </row>
    <row r="59" spans="1:9" ht="15.6">
      <c r="C59" s="70"/>
      <c r="G59" s="70"/>
      <c r="H59" s="70"/>
      <c r="I59" s="70"/>
    </row>
    <row r="60" spans="1:9" ht="15.6">
      <c r="C60" s="70"/>
      <c r="G60" s="70"/>
      <c r="H60" s="70"/>
      <c r="I60" s="70"/>
    </row>
    <row r="61" spans="1:9" ht="15.6">
      <c r="C61" s="70"/>
      <c r="G61" s="70"/>
      <c r="H61" s="70"/>
      <c r="I61" s="70"/>
    </row>
    <row r="62" spans="1:9" ht="15.6">
      <c r="C62" s="70"/>
      <c r="G62" s="70"/>
      <c r="H62" s="70"/>
      <c r="I62" s="70"/>
    </row>
    <row r="63" spans="1:9" ht="15.6">
      <c r="C63" s="70"/>
      <c r="G63" s="70"/>
      <c r="H63" s="70"/>
      <c r="I63" s="70"/>
    </row>
    <row r="64" spans="1:9" ht="15.6">
      <c r="C64" s="70"/>
      <c r="G64" s="70"/>
      <c r="H64" s="70"/>
      <c r="I64" s="70"/>
    </row>
    <row r="65" spans="3:9" ht="15.6">
      <c r="C65" s="70"/>
      <c r="G65" s="70"/>
      <c r="H65" s="70"/>
      <c r="I65" s="70"/>
    </row>
    <row r="66" spans="3:9" ht="15.6">
      <c r="C66" s="70"/>
      <c r="H66" s="70"/>
      <c r="I66" s="70"/>
    </row>
    <row r="67" spans="3:9" ht="15.6">
      <c r="C67" s="70"/>
      <c r="H67" s="70"/>
      <c r="I67" s="70"/>
    </row>
    <row r="68" spans="3:9" ht="15.6">
      <c r="C68" s="70"/>
      <c r="F68" s="71"/>
      <c r="H68" s="70"/>
      <c r="I68" s="70"/>
    </row>
    <row r="69" spans="3:9" ht="15.6">
      <c r="F69" s="71"/>
      <c r="H69" s="70"/>
      <c r="I69" s="70"/>
    </row>
  </sheetData>
  <phoneticPr fontId="32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9"/>
  <sheetViews>
    <sheetView showGridLines="0" zoomScale="70" zoomScaleNormal="7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.109375" defaultRowHeight="13.2"/>
  <cols>
    <col min="1" max="1" width="11.6640625" customWidth="1"/>
    <col min="2" max="7" width="13.6640625" customWidth="1"/>
    <col min="8" max="8" width="10.109375" bestFit="1" customWidth="1"/>
    <col min="9" max="9" width="11.44140625" customWidth="1"/>
    <col min="11" max="11" width="8.88671875" customWidth="1"/>
    <col min="12" max="12" width="18" bestFit="1" customWidth="1"/>
  </cols>
  <sheetData>
    <row r="1" spans="1:28" ht="13.8">
      <c r="A1" s="14" t="s">
        <v>10</v>
      </c>
      <c r="B1" s="14"/>
      <c r="C1" s="14"/>
      <c r="D1" s="14"/>
      <c r="E1" s="14"/>
      <c r="F1" s="14"/>
      <c r="G1" s="14"/>
    </row>
    <row r="2" spans="1:28" ht="15.6" customHeight="1">
      <c r="A2" s="15" t="s">
        <v>98</v>
      </c>
      <c r="B2" s="17" t="s">
        <v>125</v>
      </c>
      <c r="C2" s="72" t="s">
        <v>126</v>
      </c>
      <c r="D2" s="72" t="s">
        <v>127</v>
      </c>
      <c r="E2" s="72" t="s">
        <v>129</v>
      </c>
      <c r="F2" s="17" t="s">
        <v>145</v>
      </c>
      <c r="G2" s="17" t="s">
        <v>146</v>
      </c>
      <c r="AB2" s="73"/>
    </row>
    <row r="3" spans="1:28" ht="15.6" customHeight="1">
      <c r="A3" s="14" t="s">
        <v>105</v>
      </c>
      <c r="B3" s="23" t="s">
        <v>147</v>
      </c>
      <c r="C3" s="23" t="s">
        <v>148</v>
      </c>
      <c r="D3" s="23" t="s">
        <v>149</v>
      </c>
      <c r="E3" s="23" t="s">
        <v>150</v>
      </c>
      <c r="F3" s="23" t="s">
        <v>151</v>
      </c>
      <c r="G3" s="23" t="s">
        <v>152</v>
      </c>
      <c r="AB3" s="73"/>
    </row>
    <row r="4" spans="1:28" ht="14.4">
      <c r="A4" s="65" t="s">
        <v>153</v>
      </c>
      <c r="C4" s="66"/>
      <c r="D4" s="66"/>
      <c r="E4" s="66"/>
      <c r="F4" s="66"/>
      <c r="G4" s="66"/>
      <c r="AB4" s="73"/>
    </row>
    <row r="5" spans="1:28" ht="13.8">
      <c r="A5" s="15"/>
      <c r="B5" s="15"/>
      <c r="C5" s="15"/>
      <c r="D5" s="15"/>
      <c r="E5" s="15"/>
      <c r="F5" s="15"/>
      <c r="G5" s="15"/>
      <c r="AB5" s="73"/>
    </row>
    <row r="6" spans="1:28" ht="13.8">
      <c r="A6" s="15" t="s">
        <v>110</v>
      </c>
      <c r="B6" s="68">
        <v>345.52</v>
      </c>
      <c r="C6" s="68">
        <v>273.83999999999997</v>
      </c>
      <c r="D6" s="68">
        <v>219.72</v>
      </c>
      <c r="E6" s="59" t="s">
        <v>77</v>
      </c>
      <c r="F6" s="68">
        <v>263.63</v>
      </c>
      <c r="G6" s="68">
        <v>240.65</v>
      </c>
      <c r="AB6" s="73"/>
    </row>
    <row r="7" spans="1:28" ht="13.8">
      <c r="A7" s="15" t="s">
        <v>111</v>
      </c>
      <c r="B7" s="68">
        <v>393.53</v>
      </c>
      <c r="C7" s="68">
        <v>275.13</v>
      </c>
      <c r="D7" s="68">
        <v>246.75</v>
      </c>
      <c r="E7" s="59" t="s">
        <v>77</v>
      </c>
      <c r="F7" s="68">
        <v>307.58999999999997</v>
      </c>
      <c r="G7" s="68">
        <v>265.68</v>
      </c>
      <c r="AB7" s="73"/>
    </row>
    <row r="8" spans="1:28" ht="13.8">
      <c r="A8" s="15" t="s">
        <v>112</v>
      </c>
      <c r="B8" s="68">
        <v>468.11</v>
      </c>
      <c r="C8" s="68">
        <v>331.52</v>
      </c>
      <c r="D8" s="68">
        <v>241.57</v>
      </c>
      <c r="E8" s="59" t="s">
        <v>77</v>
      </c>
      <c r="F8" s="68">
        <v>354.22</v>
      </c>
      <c r="G8" s="68">
        <v>329.31</v>
      </c>
      <c r="AB8" s="73"/>
    </row>
    <row r="9" spans="1:28" ht="13.8">
      <c r="A9" s="15" t="s">
        <v>113</v>
      </c>
      <c r="B9" s="68">
        <v>489.94</v>
      </c>
      <c r="C9" s="68">
        <v>377.71</v>
      </c>
      <c r="D9" s="68">
        <v>238.87</v>
      </c>
      <c r="E9" s="59" t="s">
        <v>77</v>
      </c>
      <c r="F9" s="68">
        <v>359.7</v>
      </c>
      <c r="G9" s="68">
        <v>337.23</v>
      </c>
      <c r="AB9" s="73"/>
    </row>
    <row r="10" spans="1:28" ht="13.8">
      <c r="A10" s="15" t="s">
        <v>114</v>
      </c>
      <c r="B10" s="68">
        <v>368.49</v>
      </c>
      <c r="C10" s="68">
        <v>304.27</v>
      </c>
      <c r="D10" s="68">
        <v>209.97</v>
      </c>
      <c r="E10" s="59" t="s">
        <v>77</v>
      </c>
      <c r="F10" s="68">
        <v>301.2</v>
      </c>
      <c r="G10" s="68">
        <v>256.58</v>
      </c>
      <c r="AB10" s="73"/>
    </row>
    <row r="11" spans="1:28" ht="13.8">
      <c r="A11" s="15" t="s">
        <v>115</v>
      </c>
      <c r="B11" s="68">
        <v>324.56</v>
      </c>
      <c r="C11" s="68">
        <v>261.19</v>
      </c>
      <c r="D11" s="68">
        <v>153.16999999999999</v>
      </c>
      <c r="E11" s="59" t="s">
        <v>77</v>
      </c>
      <c r="F11" s="68">
        <v>262.2</v>
      </c>
      <c r="G11" s="68">
        <v>260.23</v>
      </c>
      <c r="AB11" s="73"/>
    </row>
    <row r="12" spans="1:28" ht="13.8">
      <c r="A12" s="15" t="s">
        <v>116</v>
      </c>
      <c r="B12" s="68">
        <v>316.88</v>
      </c>
      <c r="C12" s="68">
        <v>208.61</v>
      </c>
      <c r="D12" s="68">
        <v>145.1</v>
      </c>
      <c r="E12" s="59" t="s">
        <v>77</v>
      </c>
      <c r="F12" s="68">
        <v>267.94</v>
      </c>
      <c r="G12" s="68">
        <v>282.49</v>
      </c>
      <c r="AB12" s="73"/>
    </row>
    <row r="13" spans="1:28" ht="13.8">
      <c r="A13" s="15" t="s">
        <v>117</v>
      </c>
      <c r="B13" s="68">
        <v>345.02</v>
      </c>
      <c r="C13" s="68">
        <v>260.88</v>
      </c>
      <c r="D13" s="68">
        <v>173.53</v>
      </c>
      <c r="E13" s="59" t="s">
        <v>77</v>
      </c>
      <c r="F13" s="68">
        <v>291.14999999999998</v>
      </c>
      <c r="G13" s="68">
        <v>239.15</v>
      </c>
    </row>
    <row r="14" spans="1:28" ht="13.8">
      <c r="A14" s="15" t="s">
        <v>118</v>
      </c>
      <c r="B14" s="68">
        <v>308.27999999999997</v>
      </c>
      <c r="C14" s="68">
        <v>228.64</v>
      </c>
      <c r="D14" s="68">
        <v>164.16</v>
      </c>
      <c r="E14" s="59" t="s">
        <v>77</v>
      </c>
      <c r="F14" s="68">
        <v>272.38</v>
      </c>
      <c r="G14" s="68">
        <v>225.77</v>
      </c>
    </row>
    <row r="15" spans="1:28" ht="13.8">
      <c r="A15" s="15" t="s">
        <v>119</v>
      </c>
      <c r="B15" s="68">
        <v>299.5</v>
      </c>
      <c r="C15" s="68">
        <v>247.04</v>
      </c>
      <c r="D15" s="68">
        <v>187.7</v>
      </c>
      <c r="E15" s="59" t="s">
        <v>77</v>
      </c>
      <c r="F15" s="68">
        <v>273.99</v>
      </c>
      <c r="G15" s="68">
        <v>245.88</v>
      </c>
    </row>
    <row r="16" spans="1:28" ht="13.8">
      <c r="A16" s="15" t="s">
        <v>120</v>
      </c>
      <c r="B16" s="68">
        <v>392.31</v>
      </c>
      <c r="C16" s="68">
        <v>375.51</v>
      </c>
      <c r="D16" s="117">
        <v>246.22</v>
      </c>
      <c r="E16" s="59" t="s">
        <v>77</v>
      </c>
      <c r="F16" s="68">
        <v>351.87</v>
      </c>
      <c r="G16" s="68">
        <v>288.12</v>
      </c>
    </row>
    <row r="17" spans="1:13" ht="13.8">
      <c r="A17" s="15" t="s">
        <v>34</v>
      </c>
      <c r="B17" s="68">
        <v>439.81</v>
      </c>
      <c r="C17" s="68">
        <v>355.33</v>
      </c>
      <c r="D17" s="68">
        <v>279.98</v>
      </c>
      <c r="E17" s="59" t="s">
        <v>77</v>
      </c>
      <c r="F17" s="68">
        <v>439.1</v>
      </c>
      <c r="G17" s="68">
        <v>332.21</v>
      </c>
    </row>
    <row r="18" spans="1:13" ht="16.2">
      <c r="A18" s="15" t="s">
        <v>140</v>
      </c>
      <c r="B18" s="68">
        <v>455</v>
      </c>
      <c r="C18" s="68">
        <v>380</v>
      </c>
      <c r="D18" s="68">
        <v>245</v>
      </c>
      <c r="E18" s="59" t="s">
        <v>77</v>
      </c>
      <c r="F18" s="68">
        <v>430</v>
      </c>
      <c r="G18" s="117">
        <v>380</v>
      </c>
      <c r="I18" s="71"/>
    </row>
    <row r="19" spans="1:13" ht="16.2">
      <c r="A19" s="15" t="s">
        <v>141</v>
      </c>
      <c r="B19" s="68">
        <v>380</v>
      </c>
      <c r="C19" s="68">
        <v>345</v>
      </c>
      <c r="D19" s="68">
        <v>230</v>
      </c>
      <c r="E19" s="59" t="s">
        <v>77</v>
      </c>
      <c r="F19" s="68">
        <v>350</v>
      </c>
      <c r="G19" s="117">
        <v>280</v>
      </c>
      <c r="I19" s="71"/>
    </row>
    <row r="20" spans="1:13" ht="13.8">
      <c r="A20" s="15"/>
      <c r="B20" s="68"/>
      <c r="C20" s="68"/>
      <c r="D20" s="68"/>
      <c r="E20" s="59"/>
      <c r="F20" s="68"/>
      <c r="G20" s="68"/>
      <c r="I20" s="74"/>
      <c r="J20" s="75"/>
      <c r="K20" s="75"/>
      <c r="L20" s="75"/>
      <c r="M20" s="75"/>
    </row>
    <row r="21" spans="1:13" ht="13.8">
      <c r="A21" s="35" t="s">
        <v>34</v>
      </c>
      <c r="B21" s="68"/>
      <c r="C21" s="68"/>
      <c r="D21" s="68"/>
      <c r="E21" s="55"/>
      <c r="F21" s="68"/>
      <c r="G21" s="68"/>
      <c r="H21" s="55"/>
    </row>
    <row r="22" spans="1:13" ht="13.8">
      <c r="A22" s="15" t="s">
        <v>38</v>
      </c>
      <c r="B22" s="68">
        <v>325.43</v>
      </c>
      <c r="C22" s="68">
        <v>298.75</v>
      </c>
      <c r="D22" s="68">
        <v>222.5</v>
      </c>
      <c r="E22" s="59" t="s">
        <v>77</v>
      </c>
      <c r="F22" s="68">
        <v>322.82499999999999</v>
      </c>
      <c r="G22" s="68">
        <v>265.625</v>
      </c>
      <c r="H22" s="55"/>
      <c r="I22" s="71"/>
    </row>
    <row r="23" spans="1:13" ht="13.8">
      <c r="A23" s="15" t="s">
        <v>39</v>
      </c>
      <c r="B23" s="68">
        <v>358.73</v>
      </c>
      <c r="C23" s="68">
        <v>304.5</v>
      </c>
      <c r="D23" s="68">
        <v>256.5</v>
      </c>
      <c r="E23" s="59" t="s">
        <v>77</v>
      </c>
      <c r="F23" s="68">
        <v>350.21999999999997</v>
      </c>
      <c r="G23" s="68">
        <v>252</v>
      </c>
      <c r="H23" s="55"/>
      <c r="I23" s="71"/>
    </row>
    <row r="24" spans="1:13" ht="13.8">
      <c r="A24" s="15" t="s">
        <v>41</v>
      </c>
      <c r="B24" s="68">
        <v>399.53</v>
      </c>
      <c r="C24" s="68">
        <v>311.25</v>
      </c>
      <c r="D24" s="68">
        <v>289.16666666666669</v>
      </c>
      <c r="E24" s="59" t="s">
        <v>77</v>
      </c>
      <c r="F24" s="68">
        <v>382.9666666666667</v>
      </c>
      <c r="G24" s="68">
        <v>309.16666666666669</v>
      </c>
      <c r="H24" s="55"/>
      <c r="I24" s="71"/>
    </row>
    <row r="25" spans="1:13" ht="13.8">
      <c r="A25" s="15" t="s">
        <v>154</v>
      </c>
      <c r="B25" s="68">
        <v>421.21</v>
      </c>
      <c r="C25" s="68">
        <v>318.125</v>
      </c>
      <c r="D25" s="68">
        <v>301.25</v>
      </c>
      <c r="E25" s="59" t="s">
        <v>77</v>
      </c>
      <c r="F25" s="68">
        <v>410.875</v>
      </c>
      <c r="G25" s="68">
        <v>326.25</v>
      </c>
      <c r="H25" s="55"/>
      <c r="I25" s="71"/>
    </row>
    <row r="26" spans="1:13" ht="13.8">
      <c r="A26" s="15" t="s">
        <v>43</v>
      </c>
      <c r="B26" s="117">
        <v>460.45</v>
      </c>
      <c r="C26" s="68">
        <v>333.75</v>
      </c>
      <c r="D26" s="68">
        <v>320</v>
      </c>
      <c r="E26" s="59" t="s">
        <v>77</v>
      </c>
      <c r="F26" s="68">
        <v>454.625</v>
      </c>
      <c r="G26" s="68">
        <v>350</v>
      </c>
      <c r="H26" s="55"/>
      <c r="I26" s="71"/>
    </row>
    <row r="27" spans="1:13" ht="13.8">
      <c r="A27" s="15" t="s">
        <v>45</v>
      </c>
      <c r="B27" s="117">
        <v>493.97500000000002</v>
      </c>
      <c r="C27" s="68">
        <v>345.625</v>
      </c>
      <c r="D27" s="68">
        <v>333.33300000000003</v>
      </c>
      <c r="E27" s="59" t="s">
        <v>77</v>
      </c>
      <c r="F27" s="68">
        <v>487.03750000000002</v>
      </c>
      <c r="G27" s="68">
        <v>392.5</v>
      </c>
      <c r="H27" s="55"/>
      <c r="I27" s="71"/>
    </row>
    <row r="28" spans="1:13" ht="13.8">
      <c r="A28" s="15" t="s">
        <v>46</v>
      </c>
      <c r="B28" s="117">
        <v>475.35999999999996</v>
      </c>
      <c r="C28" s="68">
        <v>355</v>
      </c>
      <c r="D28" s="68">
        <v>321</v>
      </c>
      <c r="E28" s="59" t="s">
        <v>77</v>
      </c>
      <c r="F28" s="68">
        <v>470.77999999999992</v>
      </c>
      <c r="G28" s="68">
        <v>386</v>
      </c>
      <c r="H28" s="55"/>
      <c r="I28" s="71"/>
    </row>
    <row r="29" spans="1:13" ht="13.8">
      <c r="A29" s="15" t="s">
        <v>47</v>
      </c>
      <c r="B29" s="117">
        <v>441.27499999999998</v>
      </c>
      <c r="C29" s="68">
        <v>388.75</v>
      </c>
      <c r="D29" s="68">
        <v>285.625</v>
      </c>
      <c r="E29" s="59" t="s">
        <v>77</v>
      </c>
      <c r="F29" s="68">
        <v>454.5</v>
      </c>
      <c r="G29" s="68">
        <v>351.25</v>
      </c>
      <c r="H29" s="55"/>
      <c r="I29" s="71"/>
    </row>
    <row r="30" spans="1:13" ht="13.8">
      <c r="A30" s="15" t="s">
        <v>49</v>
      </c>
      <c r="B30" s="117">
        <v>445.92499999999995</v>
      </c>
      <c r="C30" s="68">
        <v>383.75</v>
      </c>
      <c r="D30" s="68">
        <v>281.875</v>
      </c>
      <c r="E30" s="59" t="s">
        <v>77</v>
      </c>
      <c r="F30" s="68">
        <v>478.17499999999995</v>
      </c>
      <c r="G30" s="68">
        <v>322.5</v>
      </c>
      <c r="H30" s="55"/>
      <c r="I30" s="71"/>
    </row>
    <row r="31" spans="1:13" ht="13.8">
      <c r="A31" s="15" t="s">
        <v>50</v>
      </c>
      <c r="B31" s="117">
        <v>467.87</v>
      </c>
      <c r="C31" s="68">
        <v>369.5</v>
      </c>
      <c r="D31" s="68">
        <v>268.5</v>
      </c>
      <c r="E31" s="59" t="s">
        <v>77</v>
      </c>
      <c r="F31" s="68">
        <v>501.17999999999995</v>
      </c>
      <c r="G31" s="68">
        <v>351.5</v>
      </c>
      <c r="H31" s="55"/>
      <c r="I31" s="71"/>
    </row>
    <row r="32" spans="1:13" ht="13.8">
      <c r="A32" s="15" t="s">
        <v>51</v>
      </c>
      <c r="B32" s="117">
        <v>510.90000000000009</v>
      </c>
      <c r="C32" s="68">
        <v>405</v>
      </c>
      <c r="D32" s="68">
        <v>255</v>
      </c>
      <c r="E32" s="59" t="s">
        <v>77</v>
      </c>
      <c r="F32" s="68">
        <v>521.52500000000009</v>
      </c>
      <c r="G32" s="68">
        <v>347.5</v>
      </c>
      <c r="H32" s="55"/>
      <c r="I32" s="71"/>
    </row>
    <row r="33" spans="1:10" ht="13.8">
      <c r="A33" s="15" t="s">
        <v>37</v>
      </c>
      <c r="B33" s="117">
        <v>473.93999999999994</v>
      </c>
      <c r="C33" s="68">
        <v>450</v>
      </c>
      <c r="D33" s="68">
        <v>225</v>
      </c>
      <c r="E33" s="59" t="s">
        <v>77</v>
      </c>
      <c r="F33" s="68">
        <v>434.53999999999996</v>
      </c>
      <c r="G33" s="68" t="s">
        <v>77</v>
      </c>
      <c r="H33" s="55"/>
    </row>
    <row r="34" spans="1:10" ht="13.8">
      <c r="A34" s="15"/>
      <c r="B34" s="117"/>
      <c r="C34" s="68"/>
      <c r="D34" s="68"/>
      <c r="E34" s="59"/>
      <c r="F34" s="68"/>
      <c r="G34" s="68"/>
      <c r="H34" s="55"/>
    </row>
    <row r="35" spans="1:10" ht="13.8">
      <c r="A35" s="35" t="s">
        <v>53</v>
      </c>
      <c r="B35" s="117"/>
      <c r="C35" s="68"/>
      <c r="D35" s="68"/>
      <c r="E35" s="59"/>
      <c r="F35" s="68"/>
      <c r="G35" s="68"/>
      <c r="H35" s="55"/>
    </row>
    <row r="36" spans="1:10" ht="13.8">
      <c r="A36" s="15" t="s">
        <v>38</v>
      </c>
      <c r="B36" s="117">
        <v>468.67499999999995</v>
      </c>
      <c r="C36" s="68">
        <v>451.875</v>
      </c>
      <c r="D36" s="68" t="s">
        <v>77</v>
      </c>
      <c r="E36" s="59" t="s">
        <v>77</v>
      </c>
      <c r="F36" s="68">
        <v>409.17499999999995</v>
      </c>
      <c r="G36" s="68" t="s">
        <v>77</v>
      </c>
      <c r="H36" s="55"/>
    </row>
    <row r="37" spans="1:10" ht="13.8">
      <c r="A37" s="15" t="s">
        <v>39</v>
      </c>
      <c r="B37" s="117">
        <v>436.74999999999994</v>
      </c>
      <c r="C37" s="68">
        <v>405</v>
      </c>
      <c r="D37" s="68" t="s">
        <v>77</v>
      </c>
      <c r="E37" s="59" t="s">
        <v>77</v>
      </c>
      <c r="F37" s="68">
        <v>402.99999999999994</v>
      </c>
      <c r="G37" s="68">
        <v>357.5</v>
      </c>
      <c r="H37" s="55"/>
      <c r="I37" s="71"/>
    </row>
    <row r="38" spans="1:10" ht="13.8">
      <c r="A38" s="15" t="s">
        <v>41</v>
      </c>
      <c r="B38" s="117">
        <v>462.85</v>
      </c>
      <c r="C38" s="68">
        <v>390.625</v>
      </c>
      <c r="D38" s="68">
        <v>200</v>
      </c>
      <c r="E38" s="59" t="s">
        <v>77</v>
      </c>
      <c r="F38" s="68">
        <v>437.09999999999997</v>
      </c>
      <c r="G38" s="68">
        <v>368.5</v>
      </c>
      <c r="H38" s="55"/>
      <c r="I38" s="71"/>
    </row>
    <row r="39" spans="1:10" ht="13.8">
      <c r="A39" s="15" t="s">
        <v>42</v>
      </c>
      <c r="B39" s="117">
        <v>482.40000000000003</v>
      </c>
      <c r="C39" s="68">
        <v>386.25</v>
      </c>
      <c r="D39" s="68">
        <v>355</v>
      </c>
      <c r="E39" s="59" t="s">
        <v>77</v>
      </c>
      <c r="F39" s="68">
        <v>474.02500000000003</v>
      </c>
      <c r="G39" s="68">
        <v>397.5</v>
      </c>
      <c r="I39" s="71"/>
    </row>
    <row r="40" spans="1:10" ht="13.8">
      <c r="A40" s="15" t="s">
        <v>43</v>
      </c>
      <c r="B40" s="117">
        <v>500.52499999999998</v>
      </c>
      <c r="C40" s="68">
        <v>392.5</v>
      </c>
      <c r="D40" s="68">
        <v>336.25</v>
      </c>
      <c r="E40" s="59" t="s">
        <v>77</v>
      </c>
      <c r="F40" s="68">
        <v>501.02499999999998</v>
      </c>
      <c r="G40" s="68">
        <v>412.5</v>
      </c>
      <c r="I40" s="71"/>
    </row>
    <row r="41" spans="1:10" ht="13.8">
      <c r="A41" s="15" t="s">
        <v>45</v>
      </c>
      <c r="B41" s="117">
        <v>484.4</v>
      </c>
      <c r="C41" s="68">
        <v>386.25</v>
      </c>
      <c r="D41" s="68">
        <v>308</v>
      </c>
      <c r="E41" s="59" t="s">
        <v>77</v>
      </c>
      <c r="F41" s="68">
        <v>466.6</v>
      </c>
      <c r="G41" s="68">
        <v>380.4</v>
      </c>
      <c r="I41" s="71"/>
    </row>
    <row r="42" spans="1:10" ht="13.8">
      <c r="A42" s="15" t="s">
        <v>46</v>
      </c>
      <c r="B42" s="117">
        <v>457.25</v>
      </c>
      <c r="C42" s="68">
        <v>364.375</v>
      </c>
      <c r="D42" s="68">
        <v>252.5</v>
      </c>
      <c r="E42" s="59" t="s">
        <v>77</v>
      </c>
      <c r="F42" s="68">
        <v>434.75</v>
      </c>
      <c r="G42" s="68">
        <v>352.5</v>
      </c>
      <c r="I42" s="71"/>
    </row>
    <row r="43" spans="1:10" ht="13.8">
      <c r="A43" s="15" t="s">
        <v>47</v>
      </c>
      <c r="B43" s="117">
        <v>423.57499999999999</v>
      </c>
      <c r="C43" s="68">
        <v>370.625</v>
      </c>
      <c r="D43" s="68">
        <v>237.5</v>
      </c>
      <c r="E43" s="59" t="s">
        <v>77</v>
      </c>
      <c r="F43" s="68">
        <v>407.02500000000003</v>
      </c>
      <c r="G43" s="68">
        <v>352.5</v>
      </c>
      <c r="I43" s="71"/>
    </row>
    <row r="44" spans="1:10" ht="13.8">
      <c r="A44" s="15" t="s">
        <v>49</v>
      </c>
      <c r="B44" s="117">
        <v>413.46000000000004</v>
      </c>
      <c r="C44" s="68">
        <v>362.5</v>
      </c>
      <c r="D44" s="68">
        <v>208.00200000000001</v>
      </c>
      <c r="E44" s="59" t="s">
        <v>77</v>
      </c>
      <c r="F44" s="68">
        <v>405.06000000000006</v>
      </c>
      <c r="G44" s="68">
        <v>354</v>
      </c>
      <c r="I44" s="71"/>
    </row>
    <row r="45" spans="1:10" ht="13.8">
      <c r="A45" s="14" t="s">
        <v>50</v>
      </c>
      <c r="B45" s="137">
        <v>443.15</v>
      </c>
      <c r="C45" s="138">
        <v>347.5</v>
      </c>
      <c r="D45" s="138">
        <v>159.16749999999999</v>
      </c>
      <c r="E45" s="139" t="s">
        <v>77</v>
      </c>
      <c r="F45" s="138">
        <v>432.1</v>
      </c>
      <c r="G45" s="138">
        <v>335</v>
      </c>
      <c r="I45" s="71"/>
    </row>
    <row r="46" spans="1:10" ht="16.2">
      <c r="A46" s="47" t="s">
        <v>155</v>
      </c>
      <c r="B46" s="76"/>
      <c r="C46" s="76"/>
      <c r="D46" s="76"/>
      <c r="E46" s="76"/>
      <c r="F46" s="76"/>
      <c r="G46" s="76"/>
      <c r="I46" s="74"/>
    </row>
    <row r="47" spans="1:10" ht="16.2">
      <c r="A47" s="47" t="s">
        <v>156</v>
      </c>
      <c r="B47" s="77"/>
      <c r="C47" s="77"/>
      <c r="D47" s="77"/>
      <c r="E47" s="77"/>
      <c r="F47" s="77"/>
      <c r="G47" s="77"/>
      <c r="I47" s="74"/>
      <c r="J47" s="74"/>
    </row>
    <row r="48" spans="1:10" ht="14.4">
      <c r="A48" s="15" t="s">
        <v>157</v>
      </c>
      <c r="B48" s="15"/>
      <c r="C48" s="15"/>
      <c r="D48" s="15"/>
      <c r="E48" s="15"/>
      <c r="F48" s="77"/>
      <c r="G48" s="77"/>
      <c r="I48" s="74"/>
      <c r="J48" s="74"/>
    </row>
    <row r="49" spans="1:10" ht="13.8">
      <c r="A49" s="20" t="s">
        <v>56</v>
      </c>
      <c r="B49" s="41">
        <f>Contents!A16</f>
        <v>45153</v>
      </c>
      <c r="C49" s="15"/>
      <c r="D49" s="15"/>
      <c r="E49" s="15"/>
      <c r="F49" s="77"/>
      <c r="G49" s="77"/>
      <c r="I49" s="78"/>
      <c r="J49" s="78"/>
    </row>
    <row r="50" spans="1:10" ht="13.8">
      <c r="F50" s="77"/>
      <c r="G50" s="77"/>
      <c r="I50" s="78"/>
      <c r="J50" s="78"/>
    </row>
    <row r="51" spans="1:10" ht="13.8">
      <c r="F51" s="77"/>
      <c r="G51" s="77"/>
      <c r="I51" s="74"/>
      <c r="J51" s="74"/>
    </row>
    <row r="52" spans="1:10">
      <c r="B52" s="71"/>
      <c r="I52" s="74"/>
      <c r="J52" s="74"/>
    </row>
    <row r="53" spans="1:10">
      <c r="I53" s="74"/>
      <c r="J53" s="74"/>
    </row>
    <row r="54" spans="1:10">
      <c r="I54" s="74"/>
      <c r="J54" s="74"/>
    </row>
    <row r="55" spans="1:10">
      <c r="I55" s="74"/>
      <c r="J55" s="74"/>
    </row>
    <row r="56" spans="1:10">
      <c r="I56" s="74"/>
      <c r="J56" s="74"/>
    </row>
    <row r="58" spans="1:10">
      <c r="I58" s="79"/>
      <c r="J58" s="79"/>
    </row>
    <row r="59" spans="1:10">
      <c r="I59" s="79"/>
      <c r="J59" s="79"/>
    </row>
  </sheetData>
  <phoneticPr fontId="32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55C10-7AB3-4AC4-AC59-EEA28486DA8B}">
  <dimension ref="A1:E91"/>
  <sheetViews>
    <sheetView zoomScaleNormal="100" workbookViewId="0"/>
  </sheetViews>
  <sheetFormatPr defaultColWidth="9.109375" defaultRowHeight="13.2"/>
  <cols>
    <col min="1" max="1" width="14.6640625" style="109" bestFit="1" customWidth="1"/>
    <col min="2" max="2" width="12.33203125" style="109" customWidth="1"/>
    <col min="3" max="3" width="10.6640625" style="109" customWidth="1"/>
    <col min="4" max="16384" width="9.109375" style="109"/>
  </cols>
  <sheetData>
    <row r="1" spans="1:5">
      <c r="A1" s="148" t="s">
        <v>158</v>
      </c>
      <c r="B1" s="149" t="s">
        <v>53</v>
      </c>
      <c r="C1" s="149" t="s">
        <v>159</v>
      </c>
    </row>
    <row r="2" spans="1:5">
      <c r="A2" s="150" t="s">
        <v>160</v>
      </c>
      <c r="B2" s="151">
        <v>344.33</v>
      </c>
      <c r="C2" s="151">
        <v>332.64</v>
      </c>
      <c r="D2" s="154"/>
      <c r="E2" s="134"/>
    </row>
    <row r="3" spans="1:5">
      <c r="A3" s="152" t="s">
        <v>161</v>
      </c>
      <c r="B3" s="151">
        <v>1515.7950000000001</v>
      </c>
      <c r="C3" s="151">
        <v>1421.2</v>
      </c>
      <c r="D3" s="154"/>
      <c r="E3" s="134"/>
    </row>
    <row r="4" spans="1:5">
      <c r="A4" s="152" t="s">
        <v>162</v>
      </c>
      <c r="B4" s="151">
        <v>1231.9849999999999</v>
      </c>
      <c r="C4" s="151">
        <v>1171.78</v>
      </c>
      <c r="D4" s="154"/>
      <c r="E4" s="134"/>
    </row>
    <row r="5" spans="1:5">
      <c r="A5" s="152" t="s">
        <v>163</v>
      </c>
      <c r="B5" s="151">
        <v>410.59500000000003</v>
      </c>
      <c r="C5" s="151">
        <v>463.1</v>
      </c>
      <c r="D5" s="154"/>
      <c r="E5" s="134"/>
    </row>
    <row r="6" spans="1:5">
      <c r="A6" s="152" t="s">
        <v>164</v>
      </c>
      <c r="B6" s="151">
        <v>391.11</v>
      </c>
      <c r="C6" s="151">
        <v>405.3</v>
      </c>
      <c r="D6" s="154"/>
      <c r="E6" s="134"/>
    </row>
    <row r="7" spans="1:5">
      <c r="A7" s="152" t="s">
        <v>165</v>
      </c>
      <c r="B7" s="151">
        <v>382.30799999999999</v>
      </c>
      <c r="C7" s="151">
        <v>411.43</v>
      </c>
      <c r="D7" s="154"/>
      <c r="E7" s="134"/>
    </row>
    <row r="8" spans="1:5">
      <c r="A8" s="152"/>
      <c r="B8" s="161"/>
      <c r="C8" s="161"/>
    </row>
    <row r="9" spans="1:5">
      <c r="B9" s="153"/>
      <c r="C9" s="153"/>
    </row>
    <row r="10" spans="1:5">
      <c r="A10" s="150"/>
      <c r="B10" s="153"/>
      <c r="C10" s="153"/>
    </row>
    <row r="11" spans="1:5">
      <c r="A11" s="152"/>
      <c r="B11" s="153"/>
      <c r="C11" s="153"/>
    </row>
    <row r="12" spans="1:5">
      <c r="A12" s="152"/>
      <c r="B12" s="153"/>
      <c r="C12" s="153"/>
    </row>
    <row r="13" spans="1:5">
      <c r="A13" s="152"/>
      <c r="B13" s="153"/>
      <c r="C13" s="153"/>
    </row>
    <row r="14" spans="1:5">
      <c r="A14" s="152"/>
      <c r="B14" s="154"/>
      <c r="C14" s="154"/>
    </row>
    <row r="15" spans="1:5">
      <c r="A15" s="152"/>
      <c r="B15" s="155"/>
      <c r="C15" s="155"/>
    </row>
    <row r="16" spans="1:5">
      <c r="A16" s="152"/>
      <c r="B16" s="156"/>
      <c r="C16" s="156"/>
    </row>
    <row r="17" spans="1:3">
      <c r="A17" s="152"/>
      <c r="B17" s="157"/>
      <c r="C17" s="157"/>
    </row>
    <row r="18" spans="1:3">
      <c r="A18" s="152"/>
      <c r="B18" s="157"/>
      <c r="C18" s="157"/>
    </row>
    <row r="19" spans="1:3">
      <c r="A19" s="152"/>
      <c r="B19" s="157"/>
      <c r="C19" s="157"/>
    </row>
    <row r="20" spans="1:3">
      <c r="A20" s="152"/>
      <c r="B20" s="157"/>
      <c r="C20" s="157"/>
    </row>
    <row r="21" spans="1:3">
      <c r="A21" s="152"/>
      <c r="B21" s="157"/>
      <c r="C21" s="157"/>
    </row>
    <row r="22" spans="1:3">
      <c r="A22" s="152"/>
      <c r="B22" s="157"/>
      <c r="C22" s="157"/>
    </row>
    <row r="23" spans="1:3">
      <c r="A23" s="152"/>
      <c r="B23" s="152"/>
      <c r="C23" s="152"/>
    </row>
    <row r="24" spans="1:3">
      <c r="A24" s="152"/>
      <c r="B24" s="152"/>
      <c r="C24" s="152"/>
    </row>
    <row r="25" spans="1:3">
      <c r="A25" s="152"/>
      <c r="B25" s="152"/>
      <c r="C25" s="152"/>
    </row>
    <row r="26" spans="1:3">
      <c r="A26" s="152"/>
      <c r="B26" s="152"/>
      <c r="C26" s="152"/>
    </row>
    <row r="27" spans="1:3">
      <c r="A27" s="152"/>
      <c r="B27" s="152"/>
      <c r="C27" s="152"/>
    </row>
    <row r="28" spans="1:3">
      <c r="A28" s="152"/>
      <c r="B28" s="152"/>
      <c r="C28" s="152"/>
    </row>
    <row r="29" spans="1:3">
      <c r="A29" s="152"/>
      <c r="B29" s="152"/>
      <c r="C29" s="152"/>
    </row>
    <row r="30" spans="1:3">
      <c r="A30" s="152"/>
      <c r="B30" s="152"/>
      <c r="C30" s="152"/>
    </row>
    <row r="31" spans="1:3">
      <c r="A31" s="152"/>
      <c r="B31" s="152"/>
      <c r="C31" s="152"/>
    </row>
    <row r="32" spans="1:3">
      <c r="A32" s="152"/>
      <c r="B32" s="152"/>
      <c r="C32" s="152"/>
    </row>
    <row r="33" spans="1:3">
      <c r="A33" s="152"/>
      <c r="B33" s="152"/>
      <c r="C33" s="152"/>
    </row>
    <row r="34" spans="1:3">
      <c r="A34" s="152"/>
      <c r="B34" s="152"/>
      <c r="C34" s="152"/>
    </row>
    <row r="35" spans="1:3">
      <c r="A35" s="152"/>
      <c r="B35" s="152"/>
      <c r="C35" s="152"/>
    </row>
    <row r="36" spans="1:3">
      <c r="A36" s="152"/>
      <c r="B36" s="152"/>
      <c r="C36" s="152"/>
    </row>
    <row r="37" spans="1:3">
      <c r="A37" s="152"/>
      <c r="B37" s="152"/>
      <c r="C37" s="152"/>
    </row>
    <row r="38" spans="1:3">
      <c r="A38" s="152"/>
      <c r="B38" s="152"/>
      <c r="C38" s="152"/>
    </row>
    <row r="39" spans="1:3">
      <c r="A39" s="152"/>
      <c r="B39" s="152"/>
      <c r="C39" s="152"/>
    </row>
    <row r="40" spans="1:3">
      <c r="A40" s="152"/>
      <c r="B40" s="152"/>
      <c r="C40" s="152"/>
    </row>
    <row r="41" spans="1:3">
      <c r="A41" s="152"/>
      <c r="B41" s="152"/>
      <c r="C41" s="152"/>
    </row>
    <row r="42" spans="1:3">
      <c r="A42" s="152"/>
      <c r="B42" s="152"/>
      <c r="C42" s="152"/>
    </row>
    <row r="43" spans="1:3">
      <c r="A43" s="152"/>
      <c r="B43" s="152"/>
      <c r="C43" s="152"/>
    </row>
    <row r="44" spans="1:3">
      <c r="A44" s="152"/>
      <c r="B44" s="152"/>
      <c r="C44" s="152"/>
    </row>
    <row r="45" spans="1:3">
      <c r="A45" s="152"/>
      <c r="B45" s="152"/>
      <c r="C45" s="152"/>
    </row>
    <row r="46" spans="1:3">
      <c r="A46" s="152"/>
      <c r="B46" s="152"/>
      <c r="C46" s="152"/>
    </row>
    <row r="47" spans="1:3">
      <c r="A47" s="152"/>
      <c r="B47" s="152"/>
      <c r="C47" s="152"/>
    </row>
    <row r="48" spans="1:3">
      <c r="A48" s="152"/>
      <c r="B48" s="152"/>
      <c r="C48" s="152"/>
    </row>
    <row r="49" spans="1:3">
      <c r="A49" s="152"/>
      <c r="B49" s="152"/>
      <c r="C49" s="152"/>
    </row>
    <row r="50" spans="1:3">
      <c r="A50" s="152"/>
      <c r="B50" s="152"/>
      <c r="C50" s="152"/>
    </row>
    <row r="51" spans="1:3">
      <c r="A51" s="152"/>
      <c r="B51" s="152"/>
      <c r="C51" s="152"/>
    </row>
    <row r="52" spans="1:3">
      <c r="A52" s="152"/>
      <c r="B52" s="152"/>
      <c r="C52" s="152"/>
    </row>
    <row r="53" spans="1:3">
      <c r="A53" s="152"/>
      <c r="B53" s="152"/>
      <c r="C53" s="152"/>
    </row>
    <row r="54" spans="1:3">
      <c r="A54" s="152"/>
      <c r="B54" s="152"/>
      <c r="C54" s="152"/>
    </row>
    <row r="55" spans="1:3">
      <c r="A55" s="152"/>
      <c r="B55" s="152"/>
      <c r="C55" s="152"/>
    </row>
    <row r="56" spans="1:3">
      <c r="A56" s="152"/>
      <c r="B56" s="152"/>
      <c r="C56" s="152"/>
    </row>
    <row r="57" spans="1:3">
      <c r="A57" s="152"/>
      <c r="B57" s="152"/>
      <c r="C57" s="152"/>
    </row>
    <row r="58" spans="1:3">
      <c r="A58" s="152"/>
      <c r="B58" s="152"/>
      <c r="C58" s="152"/>
    </row>
    <row r="59" spans="1:3">
      <c r="A59" s="152"/>
      <c r="B59" s="152"/>
      <c r="C59" s="152"/>
    </row>
    <row r="60" spans="1:3">
      <c r="A60" s="152"/>
      <c r="B60" s="152"/>
      <c r="C60" s="152"/>
    </row>
    <row r="61" spans="1:3">
      <c r="A61" s="152"/>
      <c r="B61" s="152"/>
      <c r="C61" s="152"/>
    </row>
    <row r="62" spans="1:3">
      <c r="A62" s="152"/>
      <c r="B62" s="152"/>
      <c r="C62" s="152"/>
    </row>
    <row r="63" spans="1:3">
      <c r="A63" s="152"/>
      <c r="B63" s="152"/>
      <c r="C63" s="152"/>
    </row>
    <row r="64" spans="1:3">
      <c r="A64" s="152"/>
      <c r="B64" s="152"/>
      <c r="C64" s="152"/>
    </row>
    <row r="65" spans="1:3">
      <c r="A65" s="152"/>
      <c r="B65" s="152"/>
      <c r="C65" s="152"/>
    </row>
    <row r="66" spans="1:3">
      <c r="A66" s="152"/>
      <c r="B66" s="152"/>
      <c r="C66" s="152"/>
    </row>
    <row r="67" spans="1:3">
      <c r="A67" s="152"/>
      <c r="B67" s="152"/>
      <c r="C67" s="152"/>
    </row>
    <row r="68" spans="1:3">
      <c r="A68" s="152"/>
      <c r="B68" s="152"/>
      <c r="C68" s="152"/>
    </row>
    <row r="69" spans="1:3">
      <c r="A69" s="152"/>
      <c r="B69" s="152"/>
      <c r="C69" s="152"/>
    </row>
    <row r="70" spans="1:3">
      <c r="A70" s="152"/>
      <c r="B70" s="152"/>
      <c r="C70" s="152"/>
    </row>
    <row r="71" spans="1:3">
      <c r="A71" s="152"/>
      <c r="B71" s="152"/>
      <c r="C71" s="152"/>
    </row>
    <row r="72" spans="1:3">
      <c r="A72" s="152"/>
      <c r="B72" s="152"/>
      <c r="C72" s="152"/>
    </row>
    <row r="73" spans="1:3">
      <c r="A73" s="152"/>
      <c r="B73" s="152"/>
      <c r="C73" s="152"/>
    </row>
    <row r="74" spans="1:3">
      <c r="A74" s="152"/>
      <c r="B74" s="152"/>
      <c r="C74" s="152"/>
    </row>
    <row r="75" spans="1:3">
      <c r="A75" s="152"/>
      <c r="B75" s="152"/>
      <c r="C75" s="152"/>
    </row>
    <row r="76" spans="1:3">
      <c r="A76" s="152"/>
      <c r="B76" s="152"/>
      <c r="C76" s="152"/>
    </row>
    <row r="77" spans="1:3">
      <c r="A77" s="152"/>
      <c r="B77" s="152"/>
      <c r="C77" s="152"/>
    </row>
    <row r="78" spans="1:3">
      <c r="A78" s="152"/>
      <c r="B78" s="152"/>
      <c r="C78" s="152"/>
    </row>
    <row r="79" spans="1:3">
      <c r="A79" s="152"/>
      <c r="B79" s="152"/>
      <c r="C79" s="152"/>
    </row>
    <row r="80" spans="1:3">
      <c r="A80" s="152"/>
      <c r="B80" s="152"/>
      <c r="C80" s="152"/>
    </row>
    <row r="81" spans="1:3">
      <c r="A81" s="152"/>
      <c r="B81" s="152"/>
      <c r="C81" s="152"/>
    </row>
    <row r="82" spans="1:3">
      <c r="A82" s="152"/>
      <c r="B82" s="152"/>
      <c r="C82" s="152"/>
    </row>
    <row r="83" spans="1:3">
      <c r="A83" s="152"/>
      <c r="B83" s="152"/>
      <c r="C83" s="152"/>
    </row>
    <row r="84" spans="1:3">
      <c r="A84" s="152"/>
      <c r="B84" s="152"/>
      <c r="C84" s="152"/>
    </row>
    <row r="85" spans="1:3">
      <c r="A85" s="152"/>
      <c r="B85" s="152"/>
      <c r="C85" s="152"/>
    </row>
    <row r="86" spans="1:3">
      <c r="A86" s="152"/>
      <c r="B86" s="152"/>
      <c r="C86" s="152"/>
    </row>
    <row r="87" spans="1:3">
      <c r="A87" s="152"/>
      <c r="B87" s="152"/>
      <c r="C87" s="152"/>
    </row>
    <row r="88" spans="1:3">
      <c r="A88" s="152"/>
      <c r="B88" s="152"/>
      <c r="C88" s="152"/>
    </row>
    <row r="89" spans="1:3">
      <c r="A89" s="152"/>
      <c r="B89" s="152"/>
      <c r="C89" s="152"/>
    </row>
    <row r="90" spans="1:3">
      <c r="A90" s="152"/>
      <c r="B90" s="152"/>
      <c r="C90" s="152"/>
    </row>
    <row r="91" spans="1:3">
      <c r="A91" s="152"/>
      <c r="B91" s="152"/>
      <c r="C91" s="152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5" ma:contentTypeDescription="Create a new document." ma:contentTypeScope="" ma:versionID="57dc3235c951814817744eeddbaef84b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d25759a2e0a6c409a5675b9d3245aeb3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F9FD27-698A-4259-BC06-6D4A65A05A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962478-6736-46F8-AD75-7EF5A8C152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Bukowski, Maria - REE-ERS</cp:lastModifiedBy>
  <cp:revision/>
  <dcterms:created xsi:type="dcterms:W3CDTF">2001-11-13T16:22:15Z</dcterms:created>
  <dcterms:modified xsi:type="dcterms:W3CDTF">2023-08-15T13:38:00Z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