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US 1975-95" sheetId="1" r:id="rId1"/>
  </sheets>
  <definedNames>
    <definedName name="\x">'US 1975-95'!$IV$8090</definedName>
    <definedName name="_Regression_Int" localSheetId="0" hidden="1">1</definedName>
    <definedName name="_xlnm.Print_Area" localSheetId="0">'US 1975-95'!$A$1:$X$65</definedName>
    <definedName name="Print_Area_MI">'US 1975-95'!$Q$1:$U$65</definedName>
    <definedName name="_xlnm.Print_Titles" localSheetId="0">'US 1975-95'!$A:$A</definedName>
    <definedName name="Print_Titles_MI">'US 1975-95'!$A:$A</definedName>
  </definedNames>
  <calcPr fullCalcOnLoad="1"/>
</workbook>
</file>

<file path=xl/sharedStrings.xml><?xml version="1.0" encoding="utf-8"?>
<sst xmlns="http://schemas.openxmlformats.org/spreadsheetml/2006/main" count="59" uniqueCount="38">
  <si>
    <t xml:space="preserve">                   Item</t>
  </si>
  <si>
    <t>Dollars per planted acre</t>
  </si>
  <si>
    <t>Gross value of production</t>
  </si>
  <si>
    <t xml:space="preserve"> (excluding direct Government payments):</t>
  </si>
  <si>
    <t xml:space="preserve">  Corn grain</t>
  </si>
  <si>
    <t xml:space="preserve">  Corn silage</t>
  </si>
  <si>
    <t xml:space="preserve">    Total, gross value of production</t>
  </si>
  <si>
    <t>Cash expenses:</t>
  </si>
  <si>
    <t xml:space="preserve">  Seed</t>
  </si>
  <si>
    <t xml:space="preserve">  Fertilizer, lime and gypsum</t>
  </si>
  <si>
    <t xml:space="preserve">  Chemicals</t>
  </si>
  <si>
    <t xml:space="preserve">  Custom operations  1/</t>
  </si>
  <si>
    <t xml:space="preserve">  Fuel, lube, and electricity</t>
  </si>
  <si>
    <t xml:space="preserve">  Repairs</t>
  </si>
  <si>
    <t xml:space="preserve">  Hired labor</t>
  </si>
  <si>
    <t xml:space="preserve">  Other variable cash expenses  2/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</si>
  <si>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</si>
  <si>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</si>
  <si>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</si>
  <si>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</si>
  <si>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</si>
  <si>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Total, cash expenses</t>
  </si>
  <si>
    <t>Gross value of production less cash expenses</t>
  </si>
  <si>
    <t>Harvest-period price (dollars/bu.)</t>
  </si>
  <si>
    <t xml:space="preserve"> </t>
  </si>
  <si>
    <t>Yield (bu./planted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</si>
  <si>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</si>
  <si>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</si>
  <si>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</si>
  <si>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</si>
  <si>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</si>
  <si>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</si>
  <si>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</si>
  <si>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Subtotal</t>
  </si>
  <si>
    <t xml:space="preserve">  Residual returns to risk and management  </t>
  </si>
  <si>
    <t>1/ Cost of custom operations, technical services and commercial drying.  2/ Cost of purchased irrigation water.</t>
  </si>
  <si>
    <t>U.S. corn production cash costs and returns, 1975-95</t>
  </si>
  <si>
    <t>U.S. corn production economic costs and returns, 1975-95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</si>
</sst>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4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5546875" style="0" customWidth="1"/>
    <col min="2" max="22" width="9.21484375" style="0" customWidth="1"/>
    <col min="23" max="16384" width="11.4453125" style="0" customWidth="1"/>
  </cols>
  <sheetData>
    <row r="1" spans="1:25" ht="15.75">
      <c r="A1" s="11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2"/>
      <c r="X2" s="12"/>
      <c r="Y2" s="4"/>
    </row>
    <row r="3" spans="1:25" ht="15.75">
      <c r="A3" s="3" t="s">
        <v>0</v>
      </c>
      <c r="B3" s="5">
        <v>1975</v>
      </c>
      <c r="C3" s="5">
        <v>1976</v>
      </c>
      <c r="D3" s="5">
        <v>1977</v>
      </c>
      <c r="E3" s="5">
        <v>1978</v>
      </c>
      <c r="F3" s="5">
        <v>1979</v>
      </c>
      <c r="G3" s="5">
        <v>1980</v>
      </c>
      <c r="H3" s="5">
        <v>1981</v>
      </c>
      <c r="I3" s="5">
        <v>1982</v>
      </c>
      <c r="J3" s="5">
        <v>1983</v>
      </c>
      <c r="K3" s="5">
        <v>1984</v>
      </c>
      <c r="L3" s="5">
        <v>1985</v>
      </c>
      <c r="M3" s="5">
        <v>1986</v>
      </c>
      <c r="N3" s="5">
        <v>1987</v>
      </c>
      <c r="O3" s="5">
        <v>1988</v>
      </c>
      <c r="P3" s="5">
        <v>1989</v>
      </c>
      <c r="Q3" s="5">
        <v>1990</v>
      </c>
      <c r="R3" s="5">
        <v>1991</v>
      </c>
      <c r="S3" s="5">
        <v>1992</v>
      </c>
      <c r="T3" s="5">
        <v>1993</v>
      </c>
      <c r="U3" s="5">
        <v>1994</v>
      </c>
      <c r="V3" s="5">
        <v>1995</v>
      </c>
      <c r="W3" s="13"/>
      <c r="X3" s="13"/>
      <c r="Y3" s="4"/>
    </row>
    <row r="4" spans="1:25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2"/>
      <c r="X4" s="12"/>
      <c r="Y4" s="4"/>
    </row>
    <row r="5" spans="1:25" ht="15.75">
      <c r="A5" s="4"/>
      <c r="B5" s="4"/>
      <c r="C5" s="4"/>
      <c r="D5" s="4"/>
      <c r="E5" s="4"/>
      <c r="F5" s="4"/>
      <c r="G5" s="4"/>
      <c r="H5" s="4"/>
      <c r="I5" s="4"/>
      <c r="J5" s="4"/>
      <c r="K5" s="3" t="s">
        <v>1</v>
      </c>
      <c r="L5" s="4"/>
      <c r="O5" s="4"/>
      <c r="P5" s="4"/>
      <c r="Q5" s="4"/>
      <c r="R5" s="4"/>
      <c r="S5" s="4"/>
      <c r="T5" s="4"/>
      <c r="U5" s="4"/>
      <c r="V5" s="4"/>
      <c r="W5" s="14"/>
      <c r="X5" s="14"/>
      <c r="Y5" s="4"/>
    </row>
    <row r="6" spans="1:25" ht="15.75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4"/>
      <c r="X6" s="14"/>
      <c r="Y6" s="4"/>
    </row>
    <row r="7" spans="1:25" ht="15.7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4"/>
      <c r="X7" s="14"/>
      <c r="Y7" s="4"/>
    </row>
    <row r="8" spans="1:25" ht="15.75">
      <c r="A8" s="3" t="s">
        <v>4</v>
      </c>
      <c r="B8" s="6">
        <f aca="true" t="shared" si="0" ref="B8:V8">(B32)*(B33)</f>
        <v>217.678</v>
      </c>
      <c r="C8" s="6">
        <f t="shared" si="0"/>
        <v>187.265</v>
      </c>
      <c r="D8" s="6">
        <f t="shared" si="0"/>
        <v>180.26399999999998</v>
      </c>
      <c r="E8" s="6">
        <f t="shared" si="0"/>
        <v>226.125</v>
      </c>
      <c r="F8" s="6">
        <f t="shared" si="0"/>
        <v>276.192</v>
      </c>
      <c r="G8" s="6">
        <f t="shared" si="0"/>
        <v>279.46500000000003</v>
      </c>
      <c r="H8" s="6">
        <f t="shared" si="0"/>
        <v>260.08639999999997</v>
      </c>
      <c r="I8" s="6">
        <f t="shared" si="0"/>
        <v>243.4464</v>
      </c>
      <c r="J8" s="6">
        <f t="shared" si="0"/>
        <v>252.8196</v>
      </c>
      <c r="K8" s="6">
        <f t="shared" si="0"/>
        <v>272.93820000000005</v>
      </c>
      <c r="L8" s="6">
        <f t="shared" si="0"/>
        <v>252.1735</v>
      </c>
      <c r="M8" s="6">
        <f t="shared" si="0"/>
        <v>167.02859999999998</v>
      </c>
      <c r="N8" s="6">
        <f t="shared" si="0"/>
        <v>186.5631</v>
      </c>
      <c r="O8" s="6">
        <f t="shared" si="0"/>
        <v>217.2042</v>
      </c>
      <c r="P8" s="6">
        <f t="shared" si="0"/>
        <v>255.36660000000003</v>
      </c>
      <c r="Q8" s="6">
        <f t="shared" si="0"/>
        <v>257.325</v>
      </c>
      <c r="R8" s="6">
        <f t="shared" si="0"/>
        <v>254.9778</v>
      </c>
      <c r="S8" s="6">
        <f t="shared" si="0"/>
        <v>274.33099999999996</v>
      </c>
      <c r="T8" s="6">
        <f t="shared" si="0"/>
        <v>227.0535</v>
      </c>
      <c r="U8" s="6">
        <f t="shared" si="0"/>
        <v>296.3205</v>
      </c>
      <c r="V8" s="6">
        <f t="shared" si="0"/>
        <v>321.97959999999995</v>
      </c>
      <c r="W8" s="15"/>
      <c r="X8" s="15"/>
      <c r="Y8" s="4"/>
    </row>
    <row r="9" spans="1:25" ht="15.75">
      <c r="A9" s="3" t="s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15"/>
      <c r="X9" s="15"/>
      <c r="Y9" s="4"/>
    </row>
    <row r="10" spans="1:25" ht="15.75">
      <c r="A10" s="3" t="s">
        <v>6</v>
      </c>
      <c r="B10" s="6">
        <f aca="true" t="shared" si="1" ref="B10:V10">B8</f>
        <v>217.678</v>
      </c>
      <c r="C10" s="6">
        <f t="shared" si="1"/>
        <v>187.265</v>
      </c>
      <c r="D10" s="6">
        <f t="shared" si="1"/>
        <v>180.26399999999998</v>
      </c>
      <c r="E10" s="6">
        <f t="shared" si="1"/>
        <v>226.125</v>
      </c>
      <c r="F10" s="6">
        <f t="shared" si="1"/>
        <v>276.192</v>
      </c>
      <c r="G10" s="6">
        <f t="shared" si="1"/>
        <v>279.46500000000003</v>
      </c>
      <c r="H10" s="6">
        <f t="shared" si="1"/>
        <v>260.08639999999997</v>
      </c>
      <c r="I10" s="6">
        <f t="shared" si="1"/>
        <v>243.4464</v>
      </c>
      <c r="J10" s="6">
        <f t="shared" si="1"/>
        <v>252.8196</v>
      </c>
      <c r="K10" s="6">
        <f t="shared" si="1"/>
        <v>272.93820000000005</v>
      </c>
      <c r="L10" s="6">
        <f t="shared" si="1"/>
        <v>252.1735</v>
      </c>
      <c r="M10" s="6">
        <f t="shared" si="1"/>
        <v>167.02859999999998</v>
      </c>
      <c r="N10" s="6">
        <f t="shared" si="1"/>
        <v>186.5631</v>
      </c>
      <c r="O10" s="6">
        <f t="shared" si="1"/>
        <v>217.2042</v>
      </c>
      <c r="P10" s="6">
        <f t="shared" si="1"/>
        <v>255.36660000000003</v>
      </c>
      <c r="Q10" s="6">
        <f t="shared" si="1"/>
        <v>257.325</v>
      </c>
      <c r="R10" s="6">
        <f t="shared" si="1"/>
        <v>254.9778</v>
      </c>
      <c r="S10" s="6">
        <f t="shared" si="1"/>
        <v>274.33099999999996</v>
      </c>
      <c r="T10" s="6">
        <f t="shared" si="1"/>
        <v>227.0535</v>
      </c>
      <c r="U10" s="6">
        <f t="shared" si="1"/>
        <v>296.3205</v>
      </c>
      <c r="V10" s="6">
        <f t="shared" si="1"/>
        <v>321.97959999999995</v>
      </c>
      <c r="W10" s="15"/>
      <c r="X10" s="15"/>
      <c r="Y10" s="4"/>
    </row>
    <row r="11" spans="1:25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4"/>
      <c r="X11" s="14"/>
      <c r="Y11" s="4"/>
    </row>
    <row r="12" spans="1:25" ht="15.75">
      <c r="A12" s="3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4"/>
      <c r="X12" s="14"/>
      <c r="Y12" s="4"/>
    </row>
    <row r="13" spans="1:25" ht="15.75">
      <c r="A13" s="3" t="s">
        <v>8</v>
      </c>
      <c r="B13" s="6">
        <v>9.3</v>
      </c>
      <c r="C13" s="6">
        <v>9.49</v>
      </c>
      <c r="D13" s="6">
        <v>11.06</v>
      </c>
      <c r="E13" s="6">
        <v>11.61</v>
      </c>
      <c r="F13" s="6">
        <v>12.41</v>
      </c>
      <c r="G13" s="6">
        <v>14.24</v>
      </c>
      <c r="H13" s="6">
        <v>16.16</v>
      </c>
      <c r="I13" s="6">
        <v>16.45</v>
      </c>
      <c r="J13" s="6">
        <v>16.65</v>
      </c>
      <c r="K13" s="6">
        <v>18.03</v>
      </c>
      <c r="L13" s="6">
        <v>18.48</v>
      </c>
      <c r="M13" s="6">
        <v>19.25</v>
      </c>
      <c r="N13" s="6">
        <v>18.86</v>
      </c>
      <c r="O13" s="6">
        <v>18.9</v>
      </c>
      <c r="P13" s="5">
        <v>21.02</v>
      </c>
      <c r="Q13" s="6">
        <v>20.52</v>
      </c>
      <c r="R13" s="6">
        <v>21.61</v>
      </c>
      <c r="S13" s="6">
        <v>22.1</v>
      </c>
      <c r="T13" s="6">
        <v>22.49</v>
      </c>
      <c r="U13" s="5">
        <v>22.67</v>
      </c>
      <c r="V13" s="5">
        <v>23.98</v>
      </c>
      <c r="W13" s="13"/>
      <c r="X13" s="13"/>
      <c r="Y13" s="4"/>
    </row>
    <row r="14" spans="1:25" ht="15.75">
      <c r="A14" s="3" t="s">
        <v>9</v>
      </c>
      <c r="B14" s="6">
        <f>38.17+0.8</f>
        <v>38.97</v>
      </c>
      <c r="C14" s="6">
        <f>34.39+1.01</f>
        <v>35.4</v>
      </c>
      <c r="D14" s="6">
        <f>34.36+0.99</f>
        <v>35.35</v>
      </c>
      <c r="E14" s="6">
        <f>33+1.09</f>
        <v>34.09</v>
      </c>
      <c r="F14" s="6">
        <f>37.55+1.18</f>
        <v>38.73</v>
      </c>
      <c r="G14" s="6">
        <f>47.29+1.38</f>
        <v>48.67</v>
      </c>
      <c r="H14" s="6">
        <f>51.93+1.48</f>
        <v>53.41</v>
      </c>
      <c r="I14" s="6">
        <f>49.66+1.52</f>
        <v>51.18</v>
      </c>
      <c r="J14" s="6">
        <f>48.03+1.59</f>
        <v>49.620000000000005</v>
      </c>
      <c r="K14" s="6">
        <f>50.93+1.63</f>
        <v>52.56</v>
      </c>
      <c r="L14" s="6">
        <f>50.99+1.66</f>
        <v>52.65</v>
      </c>
      <c r="M14" s="6">
        <f>38.51+2.26</f>
        <v>40.769999999999996</v>
      </c>
      <c r="N14" s="6">
        <f>35.25+2.25</f>
        <v>37.5</v>
      </c>
      <c r="O14" s="6">
        <f>43.09+2.3</f>
        <v>45.39</v>
      </c>
      <c r="P14" s="5">
        <f>45.05+2.16</f>
        <v>47.209999999999994</v>
      </c>
      <c r="Q14" s="6">
        <v>42.58</v>
      </c>
      <c r="R14" s="6">
        <v>44.59</v>
      </c>
      <c r="S14" s="6">
        <v>43.16</v>
      </c>
      <c r="T14" s="6">
        <v>43.26</v>
      </c>
      <c r="U14" s="5">
        <v>46.07</v>
      </c>
      <c r="V14" s="5">
        <v>55.85</v>
      </c>
      <c r="W14" s="13"/>
      <c r="X14" s="13"/>
      <c r="Y14" s="4"/>
    </row>
    <row r="15" spans="1:25" ht="15.75">
      <c r="A15" s="3" t="s">
        <v>10</v>
      </c>
      <c r="B15" s="6">
        <v>11.65</v>
      </c>
      <c r="C15" s="6">
        <v>10.01</v>
      </c>
      <c r="D15" s="6">
        <v>8.95</v>
      </c>
      <c r="E15" s="6">
        <v>13.15</v>
      </c>
      <c r="F15" s="6">
        <v>13.27</v>
      </c>
      <c r="G15" s="6">
        <v>14.24</v>
      </c>
      <c r="H15" s="6">
        <v>15.56</v>
      </c>
      <c r="I15" s="6">
        <v>18.24</v>
      </c>
      <c r="J15" s="6">
        <v>19.12</v>
      </c>
      <c r="K15" s="6">
        <v>19.51</v>
      </c>
      <c r="L15" s="6">
        <v>19.51</v>
      </c>
      <c r="M15" s="6">
        <v>20.27</v>
      </c>
      <c r="N15" s="6">
        <v>20.19</v>
      </c>
      <c r="O15" s="6">
        <v>20.49</v>
      </c>
      <c r="P15" s="5">
        <v>21.51</v>
      </c>
      <c r="Q15" s="6">
        <v>22.64</v>
      </c>
      <c r="R15" s="6">
        <v>22.46</v>
      </c>
      <c r="S15" s="6">
        <v>23.46</v>
      </c>
      <c r="T15" s="6">
        <v>24.27</v>
      </c>
      <c r="U15" s="5">
        <v>25.22</v>
      </c>
      <c r="V15" s="5">
        <v>26.34</v>
      </c>
      <c r="W15" s="13"/>
      <c r="X15" s="13"/>
      <c r="Y15" s="4"/>
    </row>
    <row r="16" spans="1:25" ht="15.75">
      <c r="A16" s="3" t="s">
        <v>11</v>
      </c>
      <c r="B16" s="6">
        <f>2.84+4.34</f>
        <v>7.18</v>
      </c>
      <c r="C16" s="6">
        <f>3.1+4.67</f>
        <v>7.77</v>
      </c>
      <c r="D16" s="6">
        <f>3.43+5.13</f>
        <v>8.56</v>
      </c>
      <c r="E16" s="6">
        <f>4.15+6.12</f>
        <v>10.27</v>
      </c>
      <c r="F16" s="6">
        <f>4.44+6.36</f>
        <v>10.8</v>
      </c>
      <c r="G16" s="6">
        <f>4.76+6.62</f>
        <v>11.379999999999999</v>
      </c>
      <c r="H16" s="6">
        <f>5.43+8.35</f>
        <v>13.78</v>
      </c>
      <c r="I16" s="6">
        <f>6.73+7.47</f>
        <v>14.2</v>
      </c>
      <c r="J16" s="6">
        <f>6.69+5.82</f>
        <v>12.510000000000002</v>
      </c>
      <c r="K16" s="6">
        <f>6.89+6.16</f>
        <v>13.05</v>
      </c>
      <c r="L16" s="6">
        <f>6.84+7.92</f>
        <v>14.76</v>
      </c>
      <c r="M16" s="6">
        <f>5.37+9.46</f>
        <v>14.830000000000002</v>
      </c>
      <c r="N16" s="6">
        <f>5.39+8.46</f>
        <v>13.850000000000001</v>
      </c>
      <c r="O16" s="6">
        <f>4.68+6.22</f>
        <v>10.899999999999999</v>
      </c>
      <c r="P16" s="5">
        <f>5.76+8.5</f>
        <v>14.26</v>
      </c>
      <c r="Q16" s="6">
        <v>6.28</v>
      </c>
      <c r="R16" s="6">
        <v>9.21</v>
      </c>
      <c r="S16" s="6">
        <v>9.54</v>
      </c>
      <c r="T16" s="6">
        <v>8.97</v>
      </c>
      <c r="U16" s="5">
        <v>10.05</v>
      </c>
      <c r="V16" s="5">
        <v>9.65</v>
      </c>
      <c r="W16" s="15"/>
      <c r="X16" s="13"/>
      <c r="Y16" s="4"/>
    </row>
    <row r="17" spans="1:25" ht="15.75">
      <c r="A17" s="3" t="s">
        <v>12</v>
      </c>
      <c r="B17" s="6">
        <v>5.76</v>
      </c>
      <c r="C17" s="6">
        <v>6.19</v>
      </c>
      <c r="D17" s="6">
        <v>6.81</v>
      </c>
      <c r="E17" s="6">
        <v>8.12</v>
      </c>
      <c r="F17" s="6">
        <v>12.53</v>
      </c>
      <c r="G17" s="6">
        <v>17.12</v>
      </c>
      <c r="H17" s="6">
        <v>20.17</v>
      </c>
      <c r="I17" s="6">
        <v>18.35</v>
      </c>
      <c r="J17" s="6">
        <v>15.96</v>
      </c>
      <c r="K17" s="6">
        <v>14.1</v>
      </c>
      <c r="L17" s="6">
        <v>15.75</v>
      </c>
      <c r="M17" s="6">
        <v>9.01</v>
      </c>
      <c r="N17" s="6">
        <v>10.6</v>
      </c>
      <c r="O17" s="6">
        <v>10.63</v>
      </c>
      <c r="P17" s="5">
        <v>11.88</v>
      </c>
      <c r="Q17" s="6">
        <v>24</v>
      </c>
      <c r="R17" s="6">
        <v>18.92</v>
      </c>
      <c r="S17" s="6">
        <v>18.29</v>
      </c>
      <c r="T17" s="6">
        <v>18.02</v>
      </c>
      <c r="U17" s="5">
        <v>18.96</v>
      </c>
      <c r="V17" s="5">
        <v>17.92</v>
      </c>
      <c r="W17" s="13"/>
      <c r="X17" s="13"/>
      <c r="Y17" s="4"/>
    </row>
    <row r="18" spans="1:25" ht="15.75">
      <c r="A18" s="3" t="s">
        <v>13</v>
      </c>
      <c r="B18" s="6">
        <v>6.19</v>
      </c>
      <c r="C18" s="6">
        <v>6.14</v>
      </c>
      <c r="D18" s="6">
        <v>6.29</v>
      </c>
      <c r="E18" s="6">
        <v>7.39</v>
      </c>
      <c r="F18" s="6">
        <v>8.99</v>
      </c>
      <c r="G18" s="6">
        <v>10.25</v>
      </c>
      <c r="H18" s="6">
        <v>11.98</v>
      </c>
      <c r="I18" s="6">
        <v>10.75</v>
      </c>
      <c r="J18" s="6">
        <v>10.34</v>
      </c>
      <c r="K18" s="6">
        <v>11.12</v>
      </c>
      <c r="L18" s="6">
        <v>11.05</v>
      </c>
      <c r="M18" s="6">
        <v>8.1</v>
      </c>
      <c r="N18" s="6">
        <v>8.25</v>
      </c>
      <c r="O18" s="6">
        <v>8.1</v>
      </c>
      <c r="P18" s="5">
        <v>8.94</v>
      </c>
      <c r="Q18" s="6">
        <v>9.28</v>
      </c>
      <c r="R18" s="6">
        <v>13.31</v>
      </c>
      <c r="S18" s="6">
        <v>14.83</v>
      </c>
      <c r="T18" s="6">
        <v>13.95</v>
      </c>
      <c r="U18" s="5">
        <v>16.13</v>
      </c>
      <c r="V18" s="5">
        <v>15.91</v>
      </c>
      <c r="W18" s="15"/>
      <c r="X18" s="13"/>
      <c r="Y18" s="4"/>
    </row>
    <row r="19" spans="1:25" ht="15.75">
      <c r="A19" s="3" t="s">
        <v>14</v>
      </c>
      <c r="B19" s="6">
        <v>2.23</v>
      </c>
      <c r="C19" s="6">
        <v>2.63</v>
      </c>
      <c r="D19" s="6">
        <v>3.01</v>
      </c>
      <c r="E19" s="6">
        <v>2.74</v>
      </c>
      <c r="F19" s="6">
        <v>3.13</v>
      </c>
      <c r="G19" s="6">
        <v>3.39</v>
      </c>
      <c r="H19" s="6">
        <v>3.87</v>
      </c>
      <c r="I19" s="6">
        <v>3.78</v>
      </c>
      <c r="J19" s="6">
        <v>3.52</v>
      </c>
      <c r="K19" s="6">
        <v>3.83</v>
      </c>
      <c r="L19" s="6">
        <v>4.02</v>
      </c>
      <c r="M19" s="6">
        <v>7.87</v>
      </c>
      <c r="N19" s="6">
        <v>7.83</v>
      </c>
      <c r="O19" s="6">
        <v>7.87</v>
      </c>
      <c r="P19" s="5">
        <v>8.29</v>
      </c>
      <c r="Q19" s="6">
        <v>8.61</v>
      </c>
      <c r="R19" s="6">
        <v>7.37</v>
      </c>
      <c r="S19" s="6">
        <v>7.74</v>
      </c>
      <c r="T19" s="6">
        <v>7.55</v>
      </c>
      <c r="U19" s="5">
        <v>7.54</v>
      </c>
      <c r="V19" s="5">
        <v>8.03</v>
      </c>
      <c r="W19" s="13"/>
      <c r="X19" s="15"/>
      <c r="Y19" s="4"/>
    </row>
    <row r="20" spans="1:25" ht="15.75">
      <c r="A20" s="3" t="s">
        <v>15</v>
      </c>
      <c r="B20" s="6">
        <v>0.05</v>
      </c>
      <c r="C20" s="6">
        <v>0.05</v>
      </c>
      <c r="D20" s="6">
        <v>0.06</v>
      </c>
      <c r="E20" s="6">
        <v>0.07</v>
      </c>
      <c r="F20" s="6">
        <v>0.08</v>
      </c>
      <c r="G20" s="6">
        <v>0.09</v>
      </c>
      <c r="H20" s="6">
        <f>0.01+0.15</f>
        <v>0.16</v>
      </c>
      <c r="I20" s="6">
        <f>0.23+0.35</f>
        <v>0.58</v>
      </c>
      <c r="J20" s="6">
        <f>0.23+0.35</f>
        <v>0.58</v>
      </c>
      <c r="K20" s="6">
        <f>0.23+0.36</f>
        <v>0.59</v>
      </c>
      <c r="L20" s="6">
        <f>0.23+0.35</f>
        <v>0.58</v>
      </c>
      <c r="M20" s="6">
        <v>0.31</v>
      </c>
      <c r="N20" s="6">
        <v>0.31</v>
      </c>
      <c r="O20" s="6">
        <v>0.32</v>
      </c>
      <c r="P20" s="5">
        <v>0.31</v>
      </c>
      <c r="Q20" s="6">
        <v>0.3</v>
      </c>
      <c r="R20" s="6">
        <v>0.41</v>
      </c>
      <c r="S20" s="6">
        <v>0.4</v>
      </c>
      <c r="T20" s="6">
        <v>0.43</v>
      </c>
      <c r="U20" s="5">
        <v>0.44</v>
      </c>
      <c r="V20" s="5">
        <v>0.45</v>
      </c>
      <c r="W20" s="15"/>
      <c r="X20" s="13"/>
      <c r="Y20" s="4"/>
    </row>
    <row r="21" spans="1:25" ht="15.75">
      <c r="A21" s="3" t="s">
        <v>16</v>
      </c>
      <c r="B21" s="6">
        <f aca="true" t="shared" si="2" ref="B21:V21">SUM(B13:B20)</f>
        <v>81.33</v>
      </c>
      <c r="C21" s="6">
        <f t="shared" si="2"/>
        <v>77.67999999999999</v>
      </c>
      <c r="D21" s="6">
        <f t="shared" si="2"/>
        <v>80.09000000000002</v>
      </c>
      <c r="E21" s="6">
        <f t="shared" si="2"/>
        <v>87.44</v>
      </c>
      <c r="F21" s="6">
        <f t="shared" si="2"/>
        <v>99.93999999999998</v>
      </c>
      <c r="G21" s="6">
        <f t="shared" si="2"/>
        <v>119.38000000000001</v>
      </c>
      <c r="H21" s="6">
        <f t="shared" si="2"/>
        <v>135.09</v>
      </c>
      <c r="I21" s="6">
        <f t="shared" si="2"/>
        <v>133.53</v>
      </c>
      <c r="J21" s="6">
        <f t="shared" si="2"/>
        <v>128.3</v>
      </c>
      <c r="K21" s="6">
        <f t="shared" si="2"/>
        <v>132.79000000000002</v>
      </c>
      <c r="L21" s="6">
        <f t="shared" si="2"/>
        <v>136.80000000000004</v>
      </c>
      <c r="M21" s="6">
        <f t="shared" si="2"/>
        <v>120.41</v>
      </c>
      <c r="N21" s="6">
        <f t="shared" si="2"/>
        <v>117.39</v>
      </c>
      <c r="O21" s="6">
        <f t="shared" si="2"/>
        <v>122.59999999999997</v>
      </c>
      <c r="P21" s="6">
        <f t="shared" si="2"/>
        <v>133.42</v>
      </c>
      <c r="Q21" s="6">
        <f t="shared" si="2"/>
        <v>134.21</v>
      </c>
      <c r="R21" s="6">
        <f t="shared" si="2"/>
        <v>137.88</v>
      </c>
      <c r="S21" s="6">
        <f t="shared" si="2"/>
        <v>139.52</v>
      </c>
      <c r="T21" s="6">
        <f t="shared" si="2"/>
        <v>138.94</v>
      </c>
      <c r="U21" s="6">
        <f t="shared" si="2"/>
        <v>147.07999999999998</v>
      </c>
      <c r="V21" s="6">
        <f t="shared" si="2"/>
        <v>158.13</v>
      </c>
      <c r="W21" s="15"/>
      <c r="X21" s="15"/>
      <c r="Y21" s="4"/>
    </row>
    <row r="22" spans="1:25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6"/>
      <c r="R22" s="6"/>
      <c r="S22" s="4"/>
      <c r="T22" s="4"/>
      <c r="U22" s="4"/>
      <c r="V22" s="4"/>
      <c r="W22" s="14"/>
      <c r="X22" s="14"/>
      <c r="Y22" s="4"/>
    </row>
    <row r="23" spans="1:25" ht="15.75">
      <c r="A23" s="3" t="s">
        <v>17</v>
      </c>
      <c r="B23" s="6">
        <v>14.44</v>
      </c>
      <c r="C23" s="6">
        <v>15.55</v>
      </c>
      <c r="D23" s="6">
        <v>16.59</v>
      </c>
      <c r="E23" s="6">
        <v>12.35</v>
      </c>
      <c r="F23" s="6">
        <v>14.83</v>
      </c>
      <c r="G23" s="6">
        <v>16.6</v>
      </c>
      <c r="H23" s="6">
        <v>15.43</v>
      </c>
      <c r="I23" s="6">
        <v>16.2</v>
      </c>
      <c r="J23" s="6">
        <v>15.22</v>
      </c>
      <c r="K23" s="6">
        <v>15.37</v>
      </c>
      <c r="L23" s="6">
        <v>10.93</v>
      </c>
      <c r="M23" s="6">
        <v>10.42</v>
      </c>
      <c r="N23" s="6">
        <v>10.15</v>
      </c>
      <c r="O23" s="6">
        <v>10.81</v>
      </c>
      <c r="P23" s="5">
        <v>10.42</v>
      </c>
      <c r="Q23" s="6">
        <v>12.06</v>
      </c>
      <c r="R23" s="6">
        <v>10.39</v>
      </c>
      <c r="S23" s="5">
        <v>10.58</v>
      </c>
      <c r="T23" s="6">
        <v>8.98</v>
      </c>
      <c r="U23" s="5">
        <v>13.49</v>
      </c>
      <c r="V23" s="5">
        <v>12.46</v>
      </c>
      <c r="W23" s="13"/>
      <c r="X23" s="13"/>
      <c r="Y23" s="4"/>
    </row>
    <row r="24" spans="1:25" ht="15.75">
      <c r="A24" s="3" t="s">
        <v>18</v>
      </c>
      <c r="B24" s="6">
        <v>4.74</v>
      </c>
      <c r="C24" s="6">
        <v>4.96</v>
      </c>
      <c r="D24" s="6">
        <v>5.64</v>
      </c>
      <c r="E24" s="6">
        <v>6.12</v>
      </c>
      <c r="F24" s="6">
        <v>6.94</v>
      </c>
      <c r="G24" s="6">
        <v>14.55</v>
      </c>
      <c r="H24" s="6">
        <v>14.92</v>
      </c>
      <c r="I24" s="6">
        <v>13.93</v>
      </c>
      <c r="J24" s="6">
        <v>13.45</v>
      </c>
      <c r="K24" s="6">
        <v>17</v>
      </c>
      <c r="L24" s="6">
        <v>17.47</v>
      </c>
      <c r="M24" s="6">
        <v>13.81</v>
      </c>
      <c r="N24" s="6">
        <v>14.65</v>
      </c>
      <c r="O24" s="6">
        <v>14.59</v>
      </c>
      <c r="P24" s="5">
        <v>14.87</v>
      </c>
      <c r="Q24" s="6">
        <v>14.85</v>
      </c>
      <c r="R24" s="6">
        <v>17.98</v>
      </c>
      <c r="S24" s="5">
        <v>18.41</v>
      </c>
      <c r="T24" s="6">
        <v>18.11</v>
      </c>
      <c r="U24" s="6">
        <v>20.68</v>
      </c>
      <c r="V24" s="5">
        <v>20.01</v>
      </c>
      <c r="W24" s="15"/>
      <c r="X24" s="13"/>
      <c r="Y24" s="4"/>
    </row>
    <row r="25" spans="1:25" ht="15.75">
      <c r="A25" s="3" t="s">
        <v>19</v>
      </c>
      <c r="B25" s="6">
        <f>19.52+10.4</f>
        <v>29.92</v>
      </c>
      <c r="C25" s="6">
        <f>19.51+9.62</f>
        <v>29.130000000000003</v>
      </c>
      <c r="D25" s="6">
        <f>19.48+9.2</f>
        <v>28.68</v>
      </c>
      <c r="E25" s="6">
        <f>19.48+10.31</f>
        <v>29.79</v>
      </c>
      <c r="F25" s="6">
        <f>19.57+12.5</f>
        <v>32.07</v>
      </c>
      <c r="G25" s="6">
        <f>19.68+15.01</f>
        <v>34.69</v>
      </c>
      <c r="H25" s="6">
        <f>22.8+19.13</f>
        <v>41.93</v>
      </c>
      <c r="I25" s="6">
        <f>27.64+19.67</f>
        <v>47.31</v>
      </c>
      <c r="J25" s="6">
        <f>25.95+19.15</f>
        <v>45.099999999999994</v>
      </c>
      <c r="K25" s="6">
        <f>24.71+21.2</f>
        <v>45.91</v>
      </c>
      <c r="L25" s="6">
        <f>20.12+12.6</f>
        <v>32.72</v>
      </c>
      <c r="M25" s="6">
        <f>13.25+7.71</f>
        <v>20.96</v>
      </c>
      <c r="N25" s="6">
        <f>10.66+5.45</f>
        <v>16.11</v>
      </c>
      <c r="O25" s="6">
        <f>10.03+4.91</f>
        <v>14.94</v>
      </c>
      <c r="P25" s="5">
        <f>10.05+5.08</f>
        <v>15.13</v>
      </c>
      <c r="Q25" s="6">
        <v>16.65</v>
      </c>
      <c r="R25" s="6">
        <v>16.79</v>
      </c>
      <c r="S25" s="5">
        <v>14.74</v>
      </c>
      <c r="T25" s="6">
        <v>11.86</v>
      </c>
      <c r="U25" s="5">
        <v>15.96</v>
      </c>
      <c r="V25" s="5">
        <v>16.73</v>
      </c>
      <c r="W25" s="13"/>
      <c r="X25" s="13"/>
      <c r="Y25" s="4"/>
    </row>
    <row r="26" spans="1:25" ht="15.75">
      <c r="A26" s="3" t="s">
        <v>20</v>
      </c>
      <c r="B26" s="6">
        <f aca="true" t="shared" si="3" ref="B26:V26">SUM(B23:B25)</f>
        <v>49.1</v>
      </c>
      <c r="C26" s="6">
        <f t="shared" si="3"/>
        <v>49.64</v>
      </c>
      <c r="D26" s="6">
        <f t="shared" si="3"/>
        <v>50.91</v>
      </c>
      <c r="E26" s="6">
        <f t="shared" si="3"/>
        <v>48.26</v>
      </c>
      <c r="F26" s="6">
        <f t="shared" si="3"/>
        <v>53.84</v>
      </c>
      <c r="G26" s="6">
        <f t="shared" si="3"/>
        <v>65.84</v>
      </c>
      <c r="H26" s="6">
        <f t="shared" si="3"/>
        <v>72.28</v>
      </c>
      <c r="I26" s="6">
        <f t="shared" si="3"/>
        <v>77.44</v>
      </c>
      <c r="J26" s="6">
        <f t="shared" si="3"/>
        <v>73.77</v>
      </c>
      <c r="K26" s="6">
        <f t="shared" si="3"/>
        <v>78.28</v>
      </c>
      <c r="L26" s="6">
        <f t="shared" si="3"/>
        <v>61.12</v>
      </c>
      <c r="M26" s="6">
        <f t="shared" si="3"/>
        <v>45.19</v>
      </c>
      <c r="N26" s="6">
        <f t="shared" si="3"/>
        <v>40.91</v>
      </c>
      <c r="O26" s="6">
        <f t="shared" si="3"/>
        <v>40.339999999999996</v>
      </c>
      <c r="P26" s="6">
        <f t="shared" si="3"/>
        <v>40.42</v>
      </c>
      <c r="Q26" s="6">
        <f t="shared" si="3"/>
        <v>43.56</v>
      </c>
      <c r="R26" s="6">
        <f t="shared" si="3"/>
        <v>45.16</v>
      </c>
      <c r="S26" s="6">
        <f t="shared" si="3"/>
        <v>43.730000000000004</v>
      </c>
      <c r="T26" s="6">
        <f t="shared" si="3"/>
        <v>38.95</v>
      </c>
      <c r="U26" s="6">
        <f t="shared" si="3"/>
        <v>50.13</v>
      </c>
      <c r="V26" s="6">
        <f t="shared" si="3"/>
        <v>49.2</v>
      </c>
      <c r="W26" s="15"/>
      <c r="X26" s="15"/>
      <c r="Y26" s="4"/>
    </row>
    <row r="27" spans="1:25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  <c r="R27" s="6"/>
      <c r="S27" s="4"/>
      <c r="T27" s="4"/>
      <c r="U27" s="4"/>
      <c r="V27" s="4"/>
      <c r="W27" s="14"/>
      <c r="X27" s="14"/>
      <c r="Y27" s="4"/>
    </row>
    <row r="28" spans="1:25" ht="15.75">
      <c r="A28" s="3" t="s">
        <v>21</v>
      </c>
      <c r="B28" s="6">
        <f aca="true" t="shared" si="4" ref="B28:V28">B21+B26</f>
        <v>130.43</v>
      </c>
      <c r="C28" s="6">
        <f t="shared" si="4"/>
        <v>127.32</v>
      </c>
      <c r="D28" s="6">
        <f t="shared" si="4"/>
        <v>131</v>
      </c>
      <c r="E28" s="6">
        <f t="shared" si="4"/>
        <v>135.7</v>
      </c>
      <c r="F28" s="6">
        <f t="shared" si="4"/>
        <v>153.77999999999997</v>
      </c>
      <c r="G28" s="6">
        <f t="shared" si="4"/>
        <v>185.22000000000003</v>
      </c>
      <c r="H28" s="6">
        <f t="shared" si="4"/>
        <v>207.37</v>
      </c>
      <c r="I28" s="6">
        <f t="shared" si="4"/>
        <v>210.97</v>
      </c>
      <c r="J28" s="6">
        <f t="shared" si="4"/>
        <v>202.07</v>
      </c>
      <c r="K28" s="6">
        <f t="shared" si="4"/>
        <v>211.07000000000002</v>
      </c>
      <c r="L28" s="6">
        <f t="shared" si="4"/>
        <v>197.92000000000004</v>
      </c>
      <c r="M28" s="6">
        <f t="shared" si="4"/>
        <v>165.6</v>
      </c>
      <c r="N28" s="6">
        <f t="shared" si="4"/>
        <v>158.3</v>
      </c>
      <c r="O28" s="6">
        <f t="shared" si="4"/>
        <v>162.93999999999997</v>
      </c>
      <c r="P28" s="6">
        <f t="shared" si="4"/>
        <v>173.83999999999997</v>
      </c>
      <c r="Q28" s="6">
        <f t="shared" si="4"/>
        <v>177.77</v>
      </c>
      <c r="R28" s="6">
        <f t="shared" si="4"/>
        <v>183.04</v>
      </c>
      <c r="S28" s="6">
        <f t="shared" si="4"/>
        <v>183.25</v>
      </c>
      <c r="T28" s="6">
        <f t="shared" si="4"/>
        <v>177.89</v>
      </c>
      <c r="U28" s="6">
        <f t="shared" si="4"/>
        <v>197.20999999999998</v>
      </c>
      <c r="V28" s="6">
        <f t="shared" si="4"/>
        <v>207.32999999999998</v>
      </c>
      <c r="W28" s="15"/>
      <c r="X28" s="15"/>
      <c r="Y28" s="4"/>
    </row>
    <row r="29" spans="1:25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6"/>
      <c r="R29" s="6"/>
      <c r="S29" s="4"/>
      <c r="T29" s="4"/>
      <c r="U29" s="4"/>
      <c r="V29" s="4"/>
      <c r="W29" s="15"/>
      <c r="X29" s="15"/>
      <c r="Y29" s="4"/>
    </row>
    <row r="30" spans="1:25" ht="15.75">
      <c r="A30" s="3" t="s">
        <v>22</v>
      </c>
      <c r="B30" s="6">
        <f aca="true" t="shared" si="5" ref="B30:V30">B10-B28</f>
        <v>87.24799999999999</v>
      </c>
      <c r="C30" s="6">
        <f t="shared" si="5"/>
        <v>59.94499999999999</v>
      </c>
      <c r="D30" s="6">
        <f t="shared" si="5"/>
        <v>49.26399999999998</v>
      </c>
      <c r="E30" s="6">
        <f t="shared" si="5"/>
        <v>90.42500000000001</v>
      </c>
      <c r="F30" s="6">
        <f t="shared" si="5"/>
        <v>122.41200000000003</v>
      </c>
      <c r="G30" s="6">
        <f t="shared" si="5"/>
        <v>94.245</v>
      </c>
      <c r="H30" s="6">
        <f t="shared" si="5"/>
        <v>52.716399999999965</v>
      </c>
      <c r="I30" s="6">
        <f t="shared" si="5"/>
        <v>32.47640000000001</v>
      </c>
      <c r="J30" s="6">
        <f t="shared" si="5"/>
        <v>50.749600000000015</v>
      </c>
      <c r="K30" s="6">
        <f t="shared" si="5"/>
        <v>61.86820000000003</v>
      </c>
      <c r="L30" s="6">
        <f t="shared" si="5"/>
        <v>54.253499999999946</v>
      </c>
      <c r="M30" s="6">
        <f t="shared" si="5"/>
        <v>1.4285999999999888</v>
      </c>
      <c r="N30" s="6">
        <f t="shared" si="5"/>
        <v>28.26309999999998</v>
      </c>
      <c r="O30" s="6">
        <f t="shared" si="5"/>
        <v>54.26420000000002</v>
      </c>
      <c r="P30" s="6">
        <f t="shared" si="5"/>
        <v>81.52660000000006</v>
      </c>
      <c r="Q30" s="6">
        <f t="shared" si="5"/>
        <v>79.55499999999998</v>
      </c>
      <c r="R30" s="6">
        <f t="shared" si="5"/>
        <v>71.93780000000001</v>
      </c>
      <c r="S30" s="6">
        <f t="shared" si="5"/>
        <v>91.08099999999996</v>
      </c>
      <c r="T30" s="6">
        <f t="shared" si="5"/>
        <v>49.16350000000003</v>
      </c>
      <c r="U30" s="6">
        <f t="shared" si="5"/>
        <v>99.1105</v>
      </c>
      <c r="V30" s="6">
        <f t="shared" si="5"/>
        <v>114.64959999999996</v>
      </c>
      <c r="W30" s="15"/>
      <c r="X30" s="15"/>
      <c r="Y30" s="4"/>
    </row>
    <row r="31" spans="1:25" ht="6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  <c r="R31" s="10"/>
      <c r="S31" s="10"/>
      <c r="T31" s="10"/>
      <c r="U31" s="9"/>
      <c r="V31" s="9"/>
      <c r="W31" s="12"/>
      <c r="X31" s="12"/>
      <c r="Y31" s="4"/>
    </row>
    <row r="32" spans="1:26" ht="15.75">
      <c r="A32" s="3" t="s">
        <v>23</v>
      </c>
      <c r="B32" s="6">
        <v>2.54</v>
      </c>
      <c r="C32" s="6">
        <v>2.15</v>
      </c>
      <c r="D32" s="6">
        <v>2.03</v>
      </c>
      <c r="E32" s="6">
        <v>2.25</v>
      </c>
      <c r="F32" s="6">
        <v>2.52</v>
      </c>
      <c r="G32" s="6">
        <v>3.1</v>
      </c>
      <c r="H32" s="6">
        <v>2.38</v>
      </c>
      <c r="I32" s="6">
        <v>2.14</v>
      </c>
      <c r="J32" s="6">
        <v>3.21</v>
      </c>
      <c r="K32" s="6">
        <v>2.58</v>
      </c>
      <c r="L32" s="6">
        <v>2.15</v>
      </c>
      <c r="M32" s="6">
        <v>1.41</v>
      </c>
      <c r="N32" s="6">
        <v>1.57</v>
      </c>
      <c r="O32" s="6">
        <v>2.61</v>
      </c>
      <c r="P32" s="5">
        <v>2.22</v>
      </c>
      <c r="Q32" s="6">
        <v>2.19</v>
      </c>
      <c r="R32" s="6">
        <v>2.31</v>
      </c>
      <c r="S32" s="6">
        <v>2.05</v>
      </c>
      <c r="T32" s="6">
        <v>2.29</v>
      </c>
      <c r="U32" s="5">
        <v>2.07</v>
      </c>
      <c r="V32" s="5">
        <v>2.78</v>
      </c>
      <c r="W32" s="13"/>
      <c r="X32" s="13"/>
      <c r="Y32" s="4"/>
      <c r="Z32" s="1" t="s">
        <v>24</v>
      </c>
    </row>
    <row r="33" spans="1:25" ht="15.75">
      <c r="A33" s="3" t="s">
        <v>25</v>
      </c>
      <c r="B33" s="6">
        <v>85.7</v>
      </c>
      <c r="C33" s="6">
        <v>87.1</v>
      </c>
      <c r="D33" s="6">
        <v>88.8</v>
      </c>
      <c r="E33" s="6">
        <v>100.5</v>
      </c>
      <c r="F33" s="6">
        <v>109.6</v>
      </c>
      <c r="G33" s="6">
        <v>90.15</v>
      </c>
      <c r="H33" s="6">
        <v>109.28</v>
      </c>
      <c r="I33" s="6">
        <v>113.76</v>
      </c>
      <c r="J33" s="6">
        <v>78.76</v>
      </c>
      <c r="K33" s="6">
        <v>105.79</v>
      </c>
      <c r="L33" s="6">
        <v>117.29</v>
      </c>
      <c r="M33" s="6">
        <v>118.46</v>
      </c>
      <c r="N33" s="6">
        <v>118.83</v>
      </c>
      <c r="O33" s="6">
        <v>83.22</v>
      </c>
      <c r="P33" s="5">
        <v>115.03</v>
      </c>
      <c r="Q33" s="6">
        <v>117.5</v>
      </c>
      <c r="R33" s="6">
        <v>110.38</v>
      </c>
      <c r="S33" s="6">
        <v>133.82</v>
      </c>
      <c r="T33" s="6">
        <v>99.15</v>
      </c>
      <c r="U33" s="5">
        <v>143.15</v>
      </c>
      <c r="V33" s="5">
        <v>115.82</v>
      </c>
      <c r="W33" s="13"/>
      <c r="X33" s="13"/>
      <c r="Y33" s="4"/>
    </row>
    <row r="34" spans="1:25" ht="6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  <c r="R34" s="10"/>
      <c r="S34" s="10"/>
      <c r="T34" s="10"/>
      <c r="U34" s="9"/>
      <c r="V34" s="9"/>
      <c r="W34" s="12"/>
      <c r="X34" s="12"/>
      <c r="Y34" s="4"/>
    </row>
    <row r="35" spans="1:26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6"/>
      <c r="R35" s="6"/>
      <c r="S35" s="6"/>
      <c r="T35" s="6"/>
      <c r="U35" s="4"/>
      <c r="V35" s="4"/>
      <c r="W35" s="14"/>
      <c r="X35" s="14"/>
      <c r="Y35" s="4"/>
      <c r="Z35" s="1" t="s">
        <v>24</v>
      </c>
    </row>
    <row r="36" spans="1:26" ht="15.75">
      <c r="A36" s="11" t="s">
        <v>37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4"/>
      <c r="X36" s="14"/>
      <c r="Y36" s="6"/>
      <c r="Z36" s="2"/>
    </row>
    <row r="37" spans="1:26" ht="6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10"/>
      <c r="S37" s="10"/>
      <c r="T37" s="10"/>
      <c r="U37" s="9"/>
      <c r="V37" s="9"/>
      <c r="W37" s="12"/>
      <c r="X37" s="12"/>
      <c r="Y37" s="4"/>
      <c r="Z37" s="2"/>
    </row>
    <row r="38" spans="1:26" ht="15.75">
      <c r="A38" s="3" t="s">
        <v>0</v>
      </c>
      <c r="B38" s="5">
        <v>1975</v>
      </c>
      <c r="C38" s="5">
        <v>1976</v>
      </c>
      <c r="D38" s="5">
        <v>1977</v>
      </c>
      <c r="E38" s="5">
        <v>1978</v>
      </c>
      <c r="F38" s="5">
        <v>1979</v>
      </c>
      <c r="G38" s="5">
        <v>1980</v>
      </c>
      <c r="H38" s="5">
        <v>1981</v>
      </c>
      <c r="I38" s="5">
        <v>1982</v>
      </c>
      <c r="J38" s="5">
        <v>1983</v>
      </c>
      <c r="K38" s="5">
        <v>1984</v>
      </c>
      <c r="L38" s="5">
        <v>1985</v>
      </c>
      <c r="M38" s="5">
        <v>1986</v>
      </c>
      <c r="N38" s="5">
        <v>1987</v>
      </c>
      <c r="O38" s="5">
        <v>1988</v>
      </c>
      <c r="P38" s="5">
        <v>1989</v>
      </c>
      <c r="Q38" s="7">
        <v>1990</v>
      </c>
      <c r="R38" s="7">
        <v>1991</v>
      </c>
      <c r="S38" s="7">
        <v>1992</v>
      </c>
      <c r="T38" s="7">
        <v>1993</v>
      </c>
      <c r="U38" s="5">
        <v>1994</v>
      </c>
      <c r="V38" s="5">
        <v>1995</v>
      </c>
      <c r="W38" s="13"/>
      <c r="X38" s="13"/>
      <c r="Y38" s="4"/>
      <c r="Z38" s="1" t="s">
        <v>24</v>
      </c>
    </row>
    <row r="39" spans="1:26" ht="10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10"/>
      <c r="S39" s="10"/>
      <c r="T39" s="10"/>
      <c r="U39" s="9"/>
      <c r="V39" s="9"/>
      <c r="W39" s="12"/>
      <c r="X39" s="12"/>
      <c r="Y39" s="4"/>
      <c r="Z39" s="1" t="s">
        <v>24</v>
      </c>
    </row>
    <row r="40" spans="1:26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3" t="s">
        <v>1</v>
      </c>
      <c r="L40" s="4"/>
      <c r="M40" s="3"/>
      <c r="N40" s="4"/>
      <c r="O40" s="4"/>
      <c r="P40" s="4"/>
      <c r="Q40" s="4"/>
      <c r="R40" s="4"/>
      <c r="S40" s="4"/>
      <c r="T40" s="4"/>
      <c r="U40" s="4"/>
      <c r="V40" s="4"/>
      <c r="W40" s="14"/>
      <c r="X40" s="14"/>
      <c r="Y40" s="4"/>
      <c r="Z40" s="1" t="s">
        <v>24</v>
      </c>
    </row>
    <row r="41" spans="1:26" ht="15.75">
      <c r="A41" s="3" t="s">
        <v>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4"/>
      <c r="X41" s="14"/>
      <c r="Y41" s="4"/>
      <c r="Z41" s="1" t="s">
        <v>24</v>
      </c>
    </row>
    <row r="42" spans="1:25" ht="15.75">
      <c r="A42" s="3" t="s">
        <v>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6"/>
      <c r="R42" s="6"/>
      <c r="S42" s="6"/>
      <c r="T42" s="4"/>
      <c r="U42" s="8" t="s">
        <v>24</v>
      </c>
      <c r="V42" s="4"/>
      <c r="W42" s="14"/>
      <c r="X42" s="14"/>
      <c r="Y42" s="6"/>
    </row>
    <row r="43" spans="1:25" ht="15.75">
      <c r="A43" s="3" t="s">
        <v>4</v>
      </c>
      <c r="B43" s="6">
        <f aca="true" t="shared" si="6" ref="B43:V43">B8</f>
        <v>217.678</v>
      </c>
      <c r="C43" s="6">
        <f t="shared" si="6"/>
        <v>187.265</v>
      </c>
      <c r="D43" s="6">
        <f t="shared" si="6"/>
        <v>180.26399999999998</v>
      </c>
      <c r="E43" s="6">
        <f t="shared" si="6"/>
        <v>226.125</v>
      </c>
      <c r="F43" s="6">
        <f t="shared" si="6"/>
        <v>276.192</v>
      </c>
      <c r="G43" s="6">
        <f t="shared" si="6"/>
        <v>279.46500000000003</v>
      </c>
      <c r="H43" s="6">
        <f t="shared" si="6"/>
        <v>260.08639999999997</v>
      </c>
      <c r="I43" s="6">
        <f t="shared" si="6"/>
        <v>243.4464</v>
      </c>
      <c r="J43" s="6">
        <f t="shared" si="6"/>
        <v>252.8196</v>
      </c>
      <c r="K43" s="6">
        <f t="shared" si="6"/>
        <v>272.93820000000005</v>
      </c>
      <c r="L43" s="6">
        <f t="shared" si="6"/>
        <v>252.1735</v>
      </c>
      <c r="M43" s="6">
        <f t="shared" si="6"/>
        <v>167.02859999999998</v>
      </c>
      <c r="N43" s="6">
        <f t="shared" si="6"/>
        <v>186.5631</v>
      </c>
      <c r="O43" s="6">
        <f t="shared" si="6"/>
        <v>217.2042</v>
      </c>
      <c r="P43" s="6">
        <f t="shared" si="6"/>
        <v>255.36660000000003</v>
      </c>
      <c r="Q43" s="6">
        <f t="shared" si="6"/>
        <v>257.325</v>
      </c>
      <c r="R43" s="6">
        <f t="shared" si="6"/>
        <v>254.9778</v>
      </c>
      <c r="S43" s="6">
        <f t="shared" si="6"/>
        <v>274.33099999999996</v>
      </c>
      <c r="T43" s="6">
        <f t="shared" si="6"/>
        <v>227.0535</v>
      </c>
      <c r="U43" s="6">
        <f t="shared" si="6"/>
        <v>296.3205</v>
      </c>
      <c r="V43" s="6">
        <f t="shared" si="6"/>
        <v>321.97959999999995</v>
      </c>
      <c r="W43" s="15"/>
      <c r="X43" s="15"/>
      <c r="Y43" s="6"/>
    </row>
    <row r="44" spans="1:25" ht="15.75">
      <c r="A44" s="3" t="s">
        <v>5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15"/>
      <c r="X44" s="15"/>
      <c r="Y44" s="6"/>
    </row>
    <row r="45" spans="1:25" ht="15.75">
      <c r="A45" s="3" t="s">
        <v>6</v>
      </c>
      <c r="B45" s="6">
        <f aca="true" t="shared" si="7" ref="B45:V45">B10</f>
        <v>217.678</v>
      </c>
      <c r="C45" s="6">
        <f t="shared" si="7"/>
        <v>187.265</v>
      </c>
      <c r="D45" s="6">
        <f t="shared" si="7"/>
        <v>180.26399999999998</v>
      </c>
      <c r="E45" s="6">
        <f t="shared" si="7"/>
        <v>226.125</v>
      </c>
      <c r="F45" s="6">
        <f t="shared" si="7"/>
        <v>276.192</v>
      </c>
      <c r="G45" s="6">
        <f t="shared" si="7"/>
        <v>279.46500000000003</v>
      </c>
      <c r="H45" s="6">
        <f t="shared" si="7"/>
        <v>260.08639999999997</v>
      </c>
      <c r="I45" s="6">
        <f t="shared" si="7"/>
        <v>243.4464</v>
      </c>
      <c r="J45" s="6">
        <f t="shared" si="7"/>
        <v>252.8196</v>
      </c>
      <c r="K45" s="6">
        <f t="shared" si="7"/>
        <v>272.93820000000005</v>
      </c>
      <c r="L45" s="6">
        <f t="shared" si="7"/>
        <v>252.1735</v>
      </c>
      <c r="M45" s="6">
        <f t="shared" si="7"/>
        <v>167.02859999999998</v>
      </c>
      <c r="N45" s="6">
        <f t="shared" si="7"/>
        <v>186.5631</v>
      </c>
      <c r="O45" s="6">
        <f t="shared" si="7"/>
        <v>217.2042</v>
      </c>
      <c r="P45" s="6">
        <f t="shared" si="7"/>
        <v>255.36660000000003</v>
      </c>
      <c r="Q45" s="6">
        <f t="shared" si="7"/>
        <v>257.325</v>
      </c>
      <c r="R45" s="6">
        <f t="shared" si="7"/>
        <v>254.9778</v>
      </c>
      <c r="S45" s="6">
        <f t="shared" si="7"/>
        <v>274.33099999999996</v>
      </c>
      <c r="T45" s="6">
        <f t="shared" si="7"/>
        <v>227.0535</v>
      </c>
      <c r="U45" s="6">
        <f t="shared" si="7"/>
        <v>296.3205</v>
      </c>
      <c r="V45" s="6">
        <f t="shared" si="7"/>
        <v>321.97959999999995</v>
      </c>
      <c r="W45" s="15"/>
      <c r="X45" s="15"/>
      <c r="Y45" s="6"/>
    </row>
    <row r="46" spans="1:25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/>
      <c r="R46" s="6"/>
      <c r="S46" s="4"/>
      <c r="T46" s="4"/>
      <c r="U46" s="4"/>
      <c r="V46" s="4"/>
      <c r="W46" s="14"/>
      <c r="X46" s="14"/>
      <c r="Y46" s="4"/>
    </row>
    <row r="47" spans="1:25" ht="15.75">
      <c r="A47" s="3" t="s">
        <v>26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6"/>
      <c r="R47" s="6"/>
      <c r="S47" s="4"/>
      <c r="T47" s="4"/>
      <c r="U47" s="4"/>
      <c r="V47" s="4"/>
      <c r="W47" s="14"/>
      <c r="X47" s="14"/>
      <c r="Y47" s="4"/>
    </row>
    <row r="48" spans="1:25" ht="15.75">
      <c r="A48" s="3" t="s">
        <v>27</v>
      </c>
      <c r="B48" s="6">
        <f aca="true" t="shared" si="8" ref="B48:V48">B21</f>
        <v>81.33</v>
      </c>
      <c r="C48" s="6">
        <f t="shared" si="8"/>
        <v>77.67999999999999</v>
      </c>
      <c r="D48" s="6">
        <f t="shared" si="8"/>
        <v>80.09000000000002</v>
      </c>
      <c r="E48" s="6">
        <f t="shared" si="8"/>
        <v>87.44</v>
      </c>
      <c r="F48" s="6">
        <f t="shared" si="8"/>
        <v>99.93999999999998</v>
      </c>
      <c r="G48" s="6">
        <f t="shared" si="8"/>
        <v>119.38000000000001</v>
      </c>
      <c r="H48" s="6">
        <f t="shared" si="8"/>
        <v>135.09</v>
      </c>
      <c r="I48" s="6">
        <f t="shared" si="8"/>
        <v>133.53</v>
      </c>
      <c r="J48" s="6">
        <f t="shared" si="8"/>
        <v>128.3</v>
      </c>
      <c r="K48" s="6">
        <f t="shared" si="8"/>
        <v>132.79000000000002</v>
      </c>
      <c r="L48" s="6">
        <f t="shared" si="8"/>
        <v>136.80000000000004</v>
      </c>
      <c r="M48" s="6">
        <f t="shared" si="8"/>
        <v>120.41</v>
      </c>
      <c r="N48" s="6">
        <f t="shared" si="8"/>
        <v>117.39</v>
      </c>
      <c r="O48" s="6">
        <f t="shared" si="8"/>
        <v>122.59999999999997</v>
      </c>
      <c r="P48" s="6">
        <f t="shared" si="8"/>
        <v>133.42</v>
      </c>
      <c r="Q48" s="6">
        <f t="shared" si="8"/>
        <v>134.21</v>
      </c>
      <c r="R48" s="6">
        <f t="shared" si="8"/>
        <v>137.88</v>
      </c>
      <c r="S48" s="6">
        <f t="shared" si="8"/>
        <v>139.52</v>
      </c>
      <c r="T48" s="6">
        <f t="shared" si="8"/>
        <v>138.94</v>
      </c>
      <c r="U48" s="6">
        <f t="shared" si="8"/>
        <v>147.07999999999998</v>
      </c>
      <c r="V48" s="6">
        <f t="shared" si="8"/>
        <v>158.13</v>
      </c>
      <c r="W48" s="15"/>
      <c r="X48" s="15"/>
      <c r="Y48" s="4"/>
    </row>
    <row r="49" spans="1:26" ht="15.75">
      <c r="A49" s="3" t="s">
        <v>17</v>
      </c>
      <c r="B49" s="6">
        <f aca="true" t="shared" si="9" ref="B49:V49">B23</f>
        <v>14.44</v>
      </c>
      <c r="C49" s="6">
        <f t="shared" si="9"/>
        <v>15.55</v>
      </c>
      <c r="D49" s="6">
        <f t="shared" si="9"/>
        <v>16.59</v>
      </c>
      <c r="E49" s="6">
        <f t="shared" si="9"/>
        <v>12.35</v>
      </c>
      <c r="F49" s="6">
        <f t="shared" si="9"/>
        <v>14.83</v>
      </c>
      <c r="G49" s="6">
        <f t="shared" si="9"/>
        <v>16.6</v>
      </c>
      <c r="H49" s="6">
        <f t="shared" si="9"/>
        <v>15.43</v>
      </c>
      <c r="I49" s="6">
        <f t="shared" si="9"/>
        <v>16.2</v>
      </c>
      <c r="J49" s="6">
        <f t="shared" si="9"/>
        <v>15.22</v>
      </c>
      <c r="K49" s="6">
        <f t="shared" si="9"/>
        <v>15.37</v>
      </c>
      <c r="L49" s="6">
        <f t="shared" si="9"/>
        <v>10.93</v>
      </c>
      <c r="M49" s="6">
        <f t="shared" si="9"/>
        <v>10.42</v>
      </c>
      <c r="N49" s="6">
        <f t="shared" si="9"/>
        <v>10.15</v>
      </c>
      <c r="O49" s="6">
        <f t="shared" si="9"/>
        <v>10.81</v>
      </c>
      <c r="P49" s="6">
        <f t="shared" si="9"/>
        <v>10.42</v>
      </c>
      <c r="Q49" s="6">
        <f t="shared" si="9"/>
        <v>12.06</v>
      </c>
      <c r="R49" s="6">
        <f t="shared" si="9"/>
        <v>10.39</v>
      </c>
      <c r="S49" s="6">
        <f t="shared" si="9"/>
        <v>10.58</v>
      </c>
      <c r="T49" s="6">
        <f t="shared" si="9"/>
        <v>8.98</v>
      </c>
      <c r="U49" s="6">
        <f t="shared" si="9"/>
        <v>13.49</v>
      </c>
      <c r="V49" s="6">
        <f t="shared" si="9"/>
        <v>12.46</v>
      </c>
      <c r="W49" s="15"/>
      <c r="X49" s="15"/>
      <c r="Y49" s="6"/>
      <c r="Z49" s="2"/>
    </row>
    <row r="50" spans="1:26" ht="15.75">
      <c r="A50" s="3" t="s">
        <v>18</v>
      </c>
      <c r="B50" s="6">
        <f aca="true" t="shared" si="10" ref="B50:V50">B24</f>
        <v>4.74</v>
      </c>
      <c r="C50" s="6">
        <f t="shared" si="10"/>
        <v>4.96</v>
      </c>
      <c r="D50" s="6">
        <f t="shared" si="10"/>
        <v>5.64</v>
      </c>
      <c r="E50" s="6">
        <f t="shared" si="10"/>
        <v>6.12</v>
      </c>
      <c r="F50" s="6">
        <f t="shared" si="10"/>
        <v>6.94</v>
      </c>
      <c r="G50" s="6">
        <f t="shared" si="10"/>
        <v>14.55</v>
      </c>
      <c r="H50" s="6">
        <f t="shared" si="10"/>
        <v>14.92</v>
      </c>
      <c r="I50" s="6">
        <f t="shared" si="10"/>
        <v>13.93</v>
      </c>
      <c r="J50" s="6">
        <f t="shared" si="10"/>
        <v>13.45</v>
      </c>
      <c r="K50" s="6">
        <f t="shared" si="10"/>
        <v>17</v>
      </c>
      <c r="L50" s="6">
        <f t="shared" si="10"/>
        <v>17.47</v>
      </c>
      <c r="M50" s="6">
        <f t="shared" si="10"/>
        <v>13.81</v>
      </c>
      <c r="N50" s="6">
        <f t="shared" si="10"/>
        <v>14.65</v>
      </c>
      <c r="O50" s="6">
        <f t="shared" si="10"/>
        <v>14.59</v>
      </c>
      <c r="P50" s="6">
        <f t="shared" si="10"/>
        <v>14.87</v>
      </c>
      <c r="Q50" s="6">
        <f t="shared" si="10"/>
        <v>14.85</v>
      </c>
      <c r="R50" s="6">
        <f t="shared" si="10"/>
        <v>17.98</v>
      </c>
      <c r="S50" s="6">
        <f t="shared" si="10"/>
        <v>18.41</v>
      </c>
      <c r="T50" s="6">
        <f t="shared" si="10"/>
        <v>18.11</v>
      </c>
      <c r="U50" s="6">
        <f t="shared" si="10"/>
        <v>20.68</v>
      </c>
      <c r="V50" s="6">
        <f t="shared" si="10"/>
        <v>20.01</v>
      </c>
      <c r="W50" s="15"/>
      <c r="X50" s="15"/>
      <c r="Y50" s="6"/>
      <c r="Z50" s="2"/>
    </row>
    <row r="51" spans="1:25" ht="15.75">
      <c r="A51" s="3" t="s">
        <v>28</v>
      </c>
      <c r="B51" s="6">
        <v>14.28</v>
      </c>
      <c r="C51" s="6">
        <v>17.63</v>
      </c>
      <c r="D51" s="6">
        <v>18.56</v>
      </c>
      <c r="E51" s="6">
        <v>19.17</v>
      </c>
      <c r="F51" s="6">
        <v>23</v>
      </c>
      <c r="G51" s="6">
        <v>25.29</v>
      </c>
      <c r="H51" s="6">
        <v>28.01</v>
      </c>
      <c r="I51" s="6">
        <v>33.25</v>
      </c>
      <c r="J51" s="6">
        <v>33.56</v>
      </c>
      <c r="K51" s="6">
        <v>33.73</v>
      </c>
      <c r="L51" s="6">
        <v>34.62</v>
      </c>
      <c r="M51" s="6">
        <v>29.77</v>
      </c>
      <c r="N51" s="6">
        <v>30.08</v>
      </c>
      <c r="O51" s="6">
        <v>30.95</v>
      </c>
      <c r="P51" s="5">
        <v>34.01</v>
      </c>
      <c r="Q51" s="6">
        <v>35.61</v>
      </c>
      <c r="R51" s="6">
        <v>27.23</v>
      </c>
      <c r="S51" s="5">
        <v>30.19</v>
      </c>
      <c r="T51" s="6">
        <v>28.7</v>
      </c>
      <c r="U51" s="5">
        <v>32.96</v>
      </c>
      <c r="V51" s="5">
        <v>32.71</v>
      </c>
      <c r="W51" s="13"/>
      <c r="X51" s="13"/>
      <c r="Y51" s="4"/>
    </row>
    <row r="52" spans="1:25" ht="15.75">
      <c r="A52" s="3" t="s">
        <v>29</v>
      </c>
      <c r="B52" s="6">
        <v>2.3</v>
      </c>
      <c r="C52" s="6">
        <v>1.94</v>
      </c>
      <c r="D52" s="6">
        <v>1.97</v>
      </c>
      <c r="E52" s="6">
        <v>2.77</v>
      </c>
      <c r="F52" s="6">
        <v>3.99</v>
      </c>
      <c r="G52" s="6">
        <v>5.57</v>
      </c>
      <c r="H52" s="6">
        <v>7.42</v>
      </c>
      <c r="I52" s="6">
        <v>6.03</v>
      </c>
      <c r="J52" s="6">
        <v>4.75</v>
      </c>
      <c r="K52" s="6">
        <v>5.42</v>
      </c>
      <c r="L52" s="6">
        <v>4.36</v>
      </c>
      <c r="M52" s="6">
        <v>2.53</v>
      </c>
      <c r="N52" s="6">
        <v>2.75</v>
      </c>
      <c r="O52" s="6">
        <v>3.41</v>
      </c>
      <c r="P52" s="5">
        <v>4.19</v>
      </c>
      <c r="Q52" s="6">
        <v>3.82</v>
      </c>
      <c r="R52" s="6">
        <v>3.75</v>
      </c>
      <c r="S52" s="5">
        <v>2.49</v>
      </c>
      <c r="T52" s="6">
        <v>2.17</v>
      </c>
      <c r="U52" s="5">
        <v>3.43</v>
      </c>
      <c r="V52" s="5">
        <v>4.42</v>
      </c>
      <c r="W52" s="13"/>
      <c r="X52" s="13"/>
      <c r="Y52" s="4"/>
    </row>
    <row r="53" spans="1:25" ht="15.75">
      <c r="A53" s="3" t="s">
        <v>30</v>
      </c>
      <c r="B53" s="6">
        <v>4.33</v>
      </c>
      <c r="C53" s="6">
        <v>5.01</v>
      </c>
      <c r="D53" s="6">
        <v>4.7</v>
      </c>
      <c r="E53" s="6">
        <v>4.54</v>
      </c>
      <c r="F53" s="6">
        <v>5.35</v>
      </c>
      <c r="G53" s="6">
        <v>5.31</v>
      </c>
      <c r="H53" s="6">
        <v>5.41</v>
      </c>
      <c r="I53" s="6">
        <v>5.89</v>
      </c>
      <c r="J53" s="6">
        <v>5.19</v>
      </c>
      <c r="K53" s="6">
        <v>6.78</v>
      </c>
      <c r="L53" s="6">
        <v>6.56</v>
      </c>
      <c r="M53" s="6">
        <v>5.29</v>
      </c>
      <c r="N53" s="6">
        <v>5.25</v>
      </c>
      <c r="O53" s="6">
        <v>6.12</v>
      </c>
      <c r="P53" s="5">
        <v>8.14</v>
      </c>
      <c r="Q53" s="6">
        <v>9.28</v>
      </c>
      <c r="R53" s="6">
        <v>10.17</v>
      </c>
      <c r="S53" s="5">
        <v>11.86</v>
      </c>
      <c r="T53" s="6">
        <v>11.2</v>
      </c>
      <c r="U53" s="5">
        <v>13.32</v>
      </c>
      <c r="V53" s="5">
        <v>13.18</v>
      </c>
      <c r="W53" s="13"/>
      <c r="X53" s="13"/>
      <c r="Y53" s="4"/>
    </row>
    <row r="54" spans="1:25" ht="15.75">
      <c r="A54" s="3" t="s">
        <v>31</v>
      </c>
      <c r="B54" s="6">
        <v>54.8</v>
      </c>
      <c r="C54" s="6">
        <v>47.96</v>
      </c>
      <c r="D54" s="6">
        <v>47.18</v>
      </c>
      <c r="E54" s="6">
        <v>60.17</v>
      </c>
      <c r="F54" s="6">
        <v>75.11</v>
      </c>
      <c r="G54" s="6">
        <v>66.27</v>
      </c>
      <c r="H54" s="6">
        <v>61.32</v>
      </c>
      <c r="I54" s="6">
        <v>51.29</v>
      </c>
      <c r="J54" s="6">
        <v>47.95</v>
      </c>
      <c r="K54" s="6">
        <v>67.63</v>
      </c>
      <c r="L54" s="6">
        <v>54.82</v>
      </c>
      <c r="M54" s="6">
        <v>41.19</v>
      </c>
      <c r="N54" s="6">
        <v>44.26</v>
      </c>
      <c r="O54" s="6">
        <v>52.83</v>
      </c>
      <c r="P54" s="6">
        <v>57.8</v>
      </c>
      <c r="Q54" s="6">
        <v>59.63</v>
      </c>
      <c r="R54" s="6">
        <v>61.61</v>
      </c>
      <c r="S54" s="5">
        <v>64.29</v>
      </c>
      <c r="T54" s="6">
        <v>54.89</v>
      </c>
      <c r="U54" s="5">
        <v>66.48</v>
      </c>
      <c r="V54" s="5">
        <v>67.28</v>
      </c>
      <c r="W54" s="13"/>
      <c r="X54" s="13"/>
      <c r="Y54" s="4"/>
    </row>
    <row r="55" spans="1:25" ht="15.75">
      <c r="A55" s="3" t="s">
        <v>32</v>
      </c>
      <c r="B55" s="6">
        <v>6.34</v>
      </c>
      <c r="C55" s="6">
        <v>7.5</v>
      </c>
      <c r="D55" s="6">
        <v>8.56</v>
      </c>
      <c r="E55" s="6">
        <v>7.8</v>
      </c>
      <c r="F55" s="6">
        <v>8.9</v>
      </c>
      <c r="G55" s="6">
        <v>9.63</v>
      </c>
      <c r="H55" s="6">
        <v>11</v>
      </c>
      <c r="I55" s="6">
        <v>10.74</v>
      </c>
      <c r="J55" s="6">
        <v>10.03</v>
      </c>
      <c r="K55" s="6">
        <v>10.3</v>
      </c>
      <c r="L55" s="6">
        <v>11.45</v>
      </c>
      <c r="M55" s="6">
        <v>19.7</v>
      </c>
      <c r="N55" s="6">
        <v>20.04</v>
      </c>
      <c r="O55" s="6">
        <v>21.26</v>
      </c>
      <c r="P55" s="5">
        <v>22.04</v>
      </c>
      <c r="Q55" s="6">
        <v>23.06</v>
      </c>
      <c r="R55" s="6">
        <v>23.54</v>
      </c>
      <c r="S55" s="5">
        <v>24.99</v>
      </c>
      <c r="T55" s="6">
        <v>24.11</v>
      </c>
      <c r="U55" s="5">
        <v>24.03</v>
      </c>
      <c r="V55" s="5">
        <v>25.23</v>
      </c>
      <c r="W55" s="13"/>
      <c r="X55" s="13"/>
      <c r="Y55" s="4"/>
    </row>
    <row r="56" spans="1:25" ht="15.75">
      <c r="A56" s="3" t="s">
        <v>33</v>
      </c>
      <c r="B56" s="6">
        <f aca="true" t="shared" si="11" ref="B56:V56">SUM(B48:B55)</f>
        <v>182.55999999999997</v>
      </c>
      <c r="C56" s="6">
        <f t="shared" si="11"/>
        <v>178.23</v>
      </c>
      <c r="D56" s="6">
        <f t="shared" si="11"/>
        <v>183.29000000000002</v>
      </c>
      <c r="E56" s="6">
        <f t="shared" si="11"/>
        <v>200.36</v>
      </c>
      <c r="F56" s="6">
        <f t="shared" si="11"/>
        <v>238.05999999999997</v>
      </c>
      <c r="G56" s="6">
        <f t="shared" si="11"/>
        <v>262.6</v>
      </c>
      <c r="H56" s="6">
        <f t="shared" si="11"/>
        <v>278.59999999999997</v>
      </c>
      <c r="I56" s="6">
        <f t="shared" si="11"/>
        <v>270.86</v>
      </c>
      <c r="J56" s="6">
        <f t="shared" si="11"/>
        <v>258.45</v>
      </c>
      <c r="K56" s="6">
        <f t="shared" si="11"/>
        <v>289.02000000000004</v>
      </c>
      <c r="L56" s="6">
        <f t="shared" si="11"/>
        <v>277.01000000000005</v>
      </c>
      <c r="M56" s="6">
        <f t="shared" si="11"/>
        <v>243.11999999999998</v>
      </c>
      <c r="N56" s="6">
        <f t="shared" si="11"/>
        <v>244.56999999999996</v>
      </c>
      <c r="O56" s="6">
        <f t="shared" si="11"/>
        <v>262.56999999999994</v>
      </c>
      <c r="P56" s="6">
        <f t="shared" si="11"/>
        <v>284.89</v>
      </c>
      <c r="Q56" s="6">
        <f t="shared" si="11"/>
        <v>292.52000000000004</v>
      </c>
      <c r="R56" s="6">
        <f t="shared" si="11"/>
        <v>292.54999999999995</v>
      </c>
      <c r="S56" s="6">
        <f t="shared" si="11"/>
        <v>302.33000000000004</v>
      </c>
      <c r="T56" s="6">
        <f t="shared" si="11"/>
        <v>287.09999999999997</v>
      </c>
      <c r="U56" s="6">
        <f t="shared" si="11"/>
        <v>321.47</v>
      </c>
      <c r="V56" s="6">
        <f t="shared" si="11"/>
        <v>333.42</v>
      </c>
      <c r="W56" s="15"/>
      <c r="X56" s="15"/>
      <c r="Y56" s="4"/>
    </row>
    <row r="57" spans="1:25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8" t="s">
        <v>24</v>
      </c>
      <c r="V57" s="4"/>
      <c r="W57" s="14"/>
      <c r="X57" s="14"/>
      <c r="Y57" s="4"/>
    </row>
    <row r="58" spans="1:25" ht="15.75">
      <c r="A58" s="3" t="s">
        <v>34</v>
      </c>
      <c r="B58" s="6">
        <f aca="true" t="shared" si="12" ref="B58:V58">B45-B56</f>
        <v>35.11800000000002</v>
      </c>
      <c r="C58" s="6">
        <f t="shared" si="12"/>
        <v>9.034999999999997</v>
      </c>
      <c r="D58" s="6">
        <f t="shared" si="12"/>
        <v>-3.026000000000039</v>
      </c>
      <c r="E58" s="6">
        <f t="shared" si="12"/>
        <v>25.764999999999986</v>
      </c>
      <c r="F58" s="6">
        <f t="shared" si="12"/>
        <v>38.13200000000003</v>
      </c>
      <c r="G58" s="6">
        <f t="shared" si="12"/>
        <v>16.86500000000001</v>
      </c>
      <c r="H58" s="6">
        <f t="shared" si="12"/>
        <v>-18.513599999999997</v>
      </c>
      <c r="I58" s="6">
        <f t="shared" si="12"/>
        <v>-27.413600000000002</v>
      </c>
      <c r="J58" s="6">
        <f t="shared" si="12"/>
        <v>-5.63039999999998</v>
      </c>
      <c r="K58" s="6">
        <f t="shared" si="12"/>
        <v>-16.081799999999987</v>
      </c>
      <c r="L58" s="6">
        <f t="shared" si="12"/>
        <v>-24.836500000000058</v>
      </c>
      <c r="M58" s="6">
        <f t="shared" si="12"/>
        <v>-76.0914</v>
      </c>
      <c r="N58" s="6">
        <f t="shared" si="12"/>
        <v>-58.00689999999997</v>
      </c>
      <c r="O58" s="6">
        <f t="shared" si="12"/>
        <v>-45.36579999999995</v>
      </c>
      <c r="P58" s="6">
        <f t="shared" si="12"/>
        <v>-29.523399999999953</v>
      </c>
      <c r="Q58" s="6">
        <f t="shared" si="12"/>
        <v>-35.19500000000005</v>
      </c>
      <c r="R58" s="6">
        <f t="shared" si="12"/>
        <v>-37.57219999999995</v>
      </c>
      <c r="S58" s="6">
        <f t="shared" si="12"/>
        <v>-27.99900000000008</v>
      </c>
      <c r="T58" s="6">
        <f t="shared" si="12"/>
        <v>-60.04649999999995</v>
      </c>
      <c r="U58" s="6">
        <f t="shared" si="12"/>
        <v>-25.149500000000046</v>
      </c>
      <c r="V58" s="6">
        <f t="shared" si="12"/>
        <v>-11.440400000000068</v>
      </c>
      <c r="W58" s="15"/>
      <c r="X58" s="15"/>
      <c r="Y58" s="4"/>
    </row>
    <row r="59" spans="1:25" ht="6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  <c r="R59" s="10"/>
      <c r="S59" s="10"/>
      <c r="T59" s="10"/>
      <c r="U59" s="9"/>
      <c r="V59" s="9"/>
      <c r="W59" s="12"/>
      <c r="X59" s="12"/>
      <c r="Y59" s="4"/>
    </row>
    <row r="60" spans="1:26" ht="15.75">
      <c r="A60" s="3" t="s">
        <v>23</v>
      </c>
      <c r="B60" s="6">
        <f aca="true" t="shared" si="13" ref="B60:V60">B32</f>
        <v>2.54</v>
      </c>
      <c r="C60" s="6">
        <f t="shared" si="13"/>
        <v>2.15</v>
      </c>
      <c r="D60" s="6">
        <f t="shared" si="13"/>
        <v>2.03</v>
      </c>
      <c r="E60" s="6">
        <f t="shared" si="13"/>
        <v>2.25</v>
      </c>
      <c r="F60" s="6">
        <f t="shared" si="13"/>
        <v>2.52</v>
      </c>
      <c r="G60" s="6">
        <f t="shared" si="13"/>
        <v>3.1</v>
      </c>
      <c r="H60" s="6">
        <f t="shared" si="13"/>
        <v>2.38</v>
      </c>
      <c r="I60" s="6">
        <f t="shared" si="13"/>
        <v>2.14</v>
      </c>
      <c r="J60" s="6">
        <f t="shared" si="13"/>
        <v>3.21</v>
      </c>
      <c r="K60" s="6">
        <f t="shared" si="13"/>
        <v>2.58</v>
      </c>
      <c r="L60" s="6">
        <f t="shared" si="13"/>
        <v>2.15</v>
      </c>
      <c r="M60" s="6">
        <f t="shared" si="13"/>
        <v>1.41</v>
      </c>
      <c r="N60" s="6">
        <f t="shared" si="13"/>
        <v>1.57</v>
      </c>
      <c r="O60" s="6">
        <f t="shared" si="13"/>
        <v>2.61</v>
      </c>
      <c r="P60" s="6">
        <f t="shared" si="13"/>
        <v>2.22</v>
      </c>
      <c r="Q60" s="6">
        <f t="shared" si="13"/>
        <v>2.19</v>
      </c>
      <c r="R60" s="6">
        <f t="shared" si="13"/>
        <v>2.31</v>
      </c>
      <c r="S60" s="6">
        <f t="shared" si="13"/>
        <v>2.05</v>
      </c>
      <c r="T60" s="6">
        <f t="shared" si="13"/>
        <v>2.29</v>
      </c>
      <c r="U60" s="6">
        <f t="shared" si="13"/>
        <v>2.07</v>
      </c>
      <c r="V60" s="6">
        <f t="shared" si="13"/>
        <v>2.78</v>
      </c>
      <c r="W60" s="15"/>
      <c r="X60" s="15"/>
      <c r="Y60" s="6"/>
      <c r="Z60" s="2"/>
    </row>
    <row r="61" spans="1:25" ht="15.75">
      <c r="A61" s="3" t="s">
        <v>25</v>
      </c>
      <c r="B61" s="6">
        <f aca="true" t="shared" si="14" ref="B61:V61">B33</f>
        <v>85.7</v>
      </c>
      <c r="C61" s="6">
        <f t="shared" si="14"/>
        <v>87.1</v>
      </c>
      <c r="D61" s="6">
        <f t="shared" si="14"/>
        <v>88.8</v>
      </c>
      <c r="E61" s="6">
        <f t="shared" si="14"/>
        <v>100.5</v>
      </c>
      <c r="F61" s="6">
        <f t="shared" si="14"/>
        <v>109.6</v>
      </c>
      <c r="G61" s="6">
        <f t="shared" si="14"/>
        <v>90.15</v>
      </c>
      <c r="H61" s="6">
        <f t="shared" si="14"/>
        <v>109.28</v>
      </c>
      <c r="I61" s="6">
        <f t="shared" si="14"/>
        <v>113.76</v>
      </c>
      <c r="J61" s="6">
        <f t="shared" si="14"/>
        <v>78.76</v>
      </c>
      <c r="K61" s="6">
        <f t="shared" si="14"/>
        <v>105.79</v>
      </c>
      <c r="L61" s="6">
        <f t="shared" si="14"/>
        <v>117.29</v>
      </c>
      <c r="M61" s="6">
        <f t="shared" si="14"/>
        <v>118.46</v>
      </c>
      <c r="N61" s="6">
        <f t="shared" si="14"/>
        <v>118.83</v>
      </c>
      <c r="O61" s="6">
        <f t="shared" si="14"/>
        <v>83.22</v>
      </c>
      <c r="P61" s="6">
        <f t="shared" si="14"/>
        <v>115.03</v>
      </c>
      <c r="Q61" s="6">
        <f t="shared" si="14"/>
        <v>117.5</v>
      </c>
      <c r="R61" s="6">
        <f t="shared" si="14"/>
        <v>110.38</v>
      </c>
      <c r="S61" s="6">
        <f t="shared" si="14"/>
        <v>133.82</v>
      </c>
      <c r="T61" s="6">
        <f t="shared" si="14"/>
        <v>99.15</v>
      </c>
      <c r="U61" s="6">
        <f t="shared" si="14"/>
        <v>143.15</v>
      </c>
      <c r="V61" s="6">
        <f t="shared" si="14"/>
        <v>115.82</v>
      </c>
      <c r="W61" s="15"/>
      <c r="X61" s="15"/>
      <c r="Y61" s="6"/>
    </row>
    <row r="62" spans="1:26" ht="8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2"/>
      <c r="X62" s="12"/>
      <c r="Y62" s="4"/>
      <c r="Z62" s="1" t="s">
        <v>24</v>
      </c>
    </row>
    <row r="63" spans="1:25" ht="15.75">
      <c r="A63" s="3" t="s">
        <v>35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4"/>
      <c r="X63" s="14"/>
      <c r="Y63" s="4"/>
    </row>
    <row r="64" spans="1:25" ht="15.75">
      <c r="A64" s="3" t="s">
        <v>24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4"/>
      <c r="X64" s="14"/>
      <c r="Y64" s="4"/>
    </row>
    <row r="65" spans="1:26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4"/>
      <c r="X65" s="14"/>
      <c r="Y65" s="4"/>
      <c r="Z65" s="1" t="s">
        <v>24</v>
      </c>
    </row>
    <row r="66" spans="23:24" ht="15.75">
      <c r="W66" s="16"/>
      <c r="X66" s="16"/>
    </row>
    <row r="67" spans="23:24" ht="15.75">
      <c r="W67" s="16"/>
      <c r="X67" s="16"/>
    </row>
    <row r="68" spans="23:24" ht="15.75">
      <c r="W68" s="16"/>
      <c r="X68" s="16"/>
    </row>
    <row r="69" spans="23:24" ht="15.75">
      <c r="W69" s="16"/>
      <c r="X69" s="16"/>
    </row>
    <row r="70" spans="23:24" ht="15.75">
      <c r="W70" s="16"/>
      <c r="X70" s="16"/>
    </row>
    <row r="71" spans="23:24" ht="15.75">
      <c r="W71" s="16"/>
      <c r="X71" s="16"/>
    </row>
    <row r="72" spans="23:24" ht="15.75">
      <c r="W72" s="16"/>
      <c r="X72" s="16"/>
    </row>
    <row r="73" spans="23:24" ht="15.75">
      <c r="W73" s="16"/>
      <c r="X73" s="16"/>
    </row>
    <row r="74" spans="23:24" ht="15.75">
      <c r="W74" s="16"/>
      <c r="X74" s="16"/>
    </row>
  </sheetData>
  <printOptions/>
  <pageMargins left="0.5" right="0.5" top="0.5" bottom="0.5" header="0.5" footer="0.5"/>
  <pageSetup horizontalDpi="300" verticalDpi="300" orientation="portrait" scale="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2000-11-21T19:27:38Z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